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Premier Cursos\Cursos Presenciais\Lucro Real Como Calcular e Apurar o IRPJ e a CSLL\Material de CD Lucro Real Como Calcular e Apurar o IRPJ e a CSLL\"/>
    </mc:Choice>
  </mc:AlternateContent>
  <xr:revisionPtr revIDLastSave="15" documentId="7F58E8FA59A31BFD3018EC741E62A20107C76927" xr6:coauthVersionLast="47" xr6:coauthVersionMax="47" xr10:uidLastSave="{A503ABE0-FACC-483F-946A-FB5BD46E6727}"/>
  <bookViews>
    <workbookView xWindow="0" yWindow="0" windowWidth="29076" windowHeight="15876" firstSheet="4" activeTab="1" xr2:uid="{00000000-000D-0000-FFFF-FFFF00000000}"/>
  </bookViews>
  <sheets>
    <sheet name="Mark up Regime Cumulativo" sheetId="6" r:id="rId1"/>
    <sheet name="Mark up Regime Não Cumulativo" sheetId="1" r:id="rId2"/>
    <sheet name="Lucro Presumido" sheetId="3" r:id="rId3"/>
    <sheet name="Lucro Real" sheetId="4" r:id="rId4"/>
    <sheet name="Lucro Presumido X Lucro Real" sheetId="5" r:id="rId5"/>
  </sheets>
  <definedNames>
    <definedName name="_xlnm.Print_Area" localSheetId="4">'Lucro Presumido X Lucro Real'!$B$1:$E$42</definedName>
    <definedName name="_xlnm.Print_Area" localSheetId="3">'Lucro Real'!$B$1:$E$40</definedName>
    <definedName name="_xlnm.Print_Area" localSheetId="0">'Mark up Regime Cumulativo'!$A$1:$D$56</definedName>
    <definedName name="_xlnm.Print_Area" localSheetId="1">'Mark up Regime Não Cumulativo'!$A$1:$D$56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E15" i="3"/>
  <c r="G15" i="3" s="1"/>
  <c r="I15" i="3" s="1"/>
  <c r="E9" i="3"/>
  <c r="G9" i="3" s="1"/>
  <c r="I9" i="3" s="1"/>
  <c r="C55" i="6" l="1"/>
  <c r="C53" i="6"/>
  <c r="C43" i="6"/>
  <c r="C39" i="6"/>
  <c r="C42" i="6"/>
  <c r="C41" i="6"/>
  <c r="C19" i="6"/>
  <c r="C24" i="6" s="1"/>
  <c r="C12" i="6"/>
  <c r="C23" i="6" s="1"/>
  <c r="C6" i="6"/>
  <c r="C29" i="6" s="1"/>
  <c r="C53" i="1"/>
  <c r="C39" i="1"/>
  <c r="C42" i="1"/>
  <c r="C41" i="1"/>
  <c r="C43" i="1"/>
  <c r="C55" i="1"/>
  <c r="B10" i="5"/>
  <c r="B4" i="5"/>
  <c r="B3" i="5"/>
  <c r="C12" i="1"/>
  <c r="C19" i="1"/>
  <c r="C24" i="1" s="1"/>
  <c r="C25" i="1" s="1"/>
  <c r="C30" i="1" s="1"/>
  <c r="C31" i="1" s="1"/>
  <c r="C6" i="1"/>
  <c r="C29" i="1" s="1"/>
  <c r="C8" i="3"/>
  <c r="C10" i="3"/>
  <c r="C11" i="3" s="1"/>
  <c r="E8" i="3"/>
  <c r="E19" i="3" s="1"/>
  <c r="G8" i="3"/>
  <c r="G19" i="3" s="1"/>
  <c r="I8" i="3"/>
  <c r="I16" i="3" s="1"/>
  <c r="I17" i="3" s="1"/>
  <c r="I19" i="3"/>
  <c r="G10" i="3"/>
  <c r="G11" i="3" s="1"/>
  <c r="G21" i="3"/>
  <c r="I21" i="3"/>
  <c r="C21" i="3"/>
  <c r="C19" i="3"/>
  <c r="C16" i="3" l="1"/>
  <c r="C17" i="3" s="1"/>
  <c r="I10" i="3"/>
  <c r="I11" i="3" s="1"/>
  <c r="C37" i="1"/>
  <c r="C49" i="1" s="1"/>
  <c r="D48" i="6"/>
  <c r="D54" i="6" s="1"/>
  <c r="G12" i="3"/>
  <c r="G13" i="3" s="1"/>
  <c r="C12" i="3"/>
  <c r="C13" i="3" s="1"/>
  <c r="C25" i="6"/>
  <c r="C30" i="6" s="1"/>
  <c r="C31" i="6" s="1"/>
  <c r="D36" i="6" s="1"/>
  <c r="D38" i="6"/>
  <c r="C37" i="6"/>
  <c r="C49" i="6" s="1"/>
  <c r="E26" i="3"/>
  <c r="C6" i="5" s="1"/>
  <c r="E16" i="3"/>
  <c r="E17" i="3" s="1"/>
  <c r="G16" i="3"/>
  <c r="G17" i="3" s="1"/>
  <c r="D38" i="1"/>
  <c r="D48" i="1"/>
  <c r="E21" i="3"/>
  <c r="E27" i="3" s="1"/>
  <c r="C7" i="5" s="1"/>
  <c r="E10" i="3"/>
  <c r="D36" i="1" l="1"/>
  <c r="I12" i="3"/>
  <c r="I13" i="3" s="1"/>
  <c r="C8" i="5"/>
  <c r="D36" i="4"/>
  <c r="D37" i="4"/>
  <c r="D53" i="6"/>
  <c r="D49" i="6"/>
  <c r="D51" i="6"/>
  <c r="D49" i="1"/>
  <c r="D41" i="6"/>
  <c r="D39" i="6"/>
  <c r="D51" i="1"/>
  <c r="D53" i="1"/>
  <c r="E25" i="3"/>
  <c r="C4" i="5" s="1"/>
  <c r="D42" i="6"/>
  <c r="C48" i="6"/>
  <c r="D50" i="6" s="1"/>
  <c r="D37" i="6"/>
  <c r="D37" i="1"/>
  <c r="D42" i="1"/>
  <c r="D39" i="1"/>
  <c r="D41" i="1"/>
  <c r="C48" i="1"/>
  <c r="E11" i="3"/>
  <c r="E12" i="3"/>
  <c r="D54" i="1"/>
  <c r="D52" i="6" l="1"/>
  <c r="C37" i="4"/>
  <c r="D7" i="5" s="1"/>
  <c r="E7" i="5" s="1"/>
  <c r="C36" i="4"/>
  <c r="D6" i="5" s="1"/>
  <c r="D40" i="1"/>
  <c r="D43" i="1" s="1"/>
  <c r="D55" i="6"/>
  <c r="E55" i="6" s="1"/>
  <c r="D40" i="6"/>
  <c r="D43" i="6" s="1"/>
  <c r="E43" i="6" s="1"/>
  <c r="D50" i="1"/>
  <c r="E13" i="3"/>
  <c r="E24" i="3" s="1"/>
  <c r="E6" i="5" l="1"/>
  <c r="D8" i="5"/>
  <c r="E8" i="5" s="1"/>
  <c r="D52" i="1"/>
  <c r="D55" i="1" s="1"/>
  <c r="E43" i="1"/>
  <c r="F43" i="1"/>
  <c r="E28" i="3"/>
  <c r="C3" i="5"/>
  <c r="C5" i="5" s="1"/>
  <c r="C9" i="5" s="1"/>
  <c r="E55" i="1" l="1"/>
  <c r="C3" i="4"/>
  <c r="C10" i="4" s="1"/>
  <c r="C12" i="4" s="1"/>
  <c r="C13" i="4" s="1"/>
  <c r="C18" i="4" s="1"/>
  <c r="F55" i="1"/>
  <c r="E29" i="3"/>
  <c r="C10" i="5"/>
  <c r="C35" i="4" l="1"/>
  <c r="D4" i="5" s="1"/>
  <c r="E4" i="5" s="1"/>
  <c r="C20" i="4"/>
  <c r="C21" i="4" s="1"/>
  <c r="C25" i="4" s="1"/>
  <c r="C27" i="4" s="1"/>
  <c r="C29" i="4" l="1"/>
  <c r="C28" i="4"/>
  <c r="C30" i="4" l="1"/>
  <c r="C34" i="4" s="1"/>
  <c r="C38" i="4" s="1"/>
  <c r="D3" i="5" l="1"/>
  <c r="C39" i="4"/>
  <c r="E3" i="5" l="1"/>
  <c r="D5" i="5"/>
  <c r="D9" i="5" l="1"/>
  <c r="E9" i="5" s="1"/>
  <c r="E5" i="5"/>
  <c r="D10" i="5" l="1"/>
</calcChain>
</file>

<file path=xl/sharedStrings.xml><?xml version="1.0" encoding="utf-8"?>
<sst xmlns="http://schemas.openxmlformats.org/spreadsheetml/2006/main" count="214" uniqueCount="106">
  <si>
    <t>CÁLCULO DA FORMAÇÃO DO PREÇO DE VENDA - MARKUP</t>
  </si>
  <si>
    <t>Custos variáveis (R$)</t>
  </si>
  <si>
    <t>Matéria-prima</t>
  </si>
  <si>
    <t>Outros custos variáveis</t>
  </si>
  <si>
    <t>Total dos custos variáveis</t>
  </si>
  <si>
    <t>Impostos%</t>
  </si>
  <si>
    <t>I.S.S.</t>
  </si>
  <si>
    <t>PIS</t>
  </si>
  <si>
    <t>COFINS</t>
  </si>
  <si>
    <t>Total dos Impostos %</t>
  </si>
  <si>
    <t>Margens operacionais (%)</t>
  </si>
  <si>
    <t>Despesas administrativas - fixas</t>
  </si>
  <si>
    <t>Despesas com vendas - fixas</t>
  </si>
  <si>
    <t>Custos Indiretos – fixos</t>
  </si>
  <si>
    <t>Margem de lucro desejada</t>
  </si>
  <si>
    <t>Total das margens operacionais</t>
  </si>
  <si>
    <t>Apuração do Markup:</t>
  </si>
  <si>
    <t>Preço de venda (%)</t>
  </si>
  <si>
    <t>(-) % Impostos</t>
  </si>
  <si>
    <t>(-) % Margens operacionais</t>
  </si>
  <si>
    <t>(=) Markup</t>
  </si>
  <si>
    <t xml:space="preserve">Fixação do preço de venda – R$ </t>
  </si>
  <si>
    <t>Custos variáveis unitários</t>
  </si>
  <si>
    <t>Markup %</t>
  </si>
  <si>
    <t>(=) Preço de venda ( Custo variável unit. / Markup x 100)</t>
  </si>
  <si>
    <t>DEMONSTRAÇÃO DE RESULTADO NO ANO</t>
  </si>
  <si>
    <t>PERC (%)</t>
  </si>
  <si>
    <t>REAIS</t>
  </si>
  <si>
    <t>(VALORES UNITÁRIOS)</t>
  </si>
  <si>
    <t>Preço de venda</t>
  </si>
  <si>
    <t>(-) Impostos sobre as vendas</t>
  </si>
  <si>
    <t>(-) Custos variáveis</t>
  </si>
  <si>
    <t>(-) Custos indiretos fixos</t>
  </si>
  <si>
    <t>(=) Lucro Bruto</t>
  </si>
  <si>
    <t>(-) Despesas administrativas - fixas</t>
  </si>
  <si>
    <t>(-) Despesas com vendas - fixas</t>
  </si>
  <si>
    <t>(=) Lucro Antes do IRPJ / CSLL</t>
  </si>
  <si>
    <t>DEMONSTRAÇÃO DE RESULTADO NO ANO (VALORES TOTAIS)</t>
  </si>
  <si>
    <t>Faturamento (Quantidade vendida X Preço unitário)</t>
  </si>
  <si>
    <t/>
  </si>
  <si>
    <t>1º trimestre</t>
  </si>
  <si>
    <t>Receita Bruta</t>
  </si>
  <si>
    <t>2º trimestre</t>
  </si>
  <si>
    <t>3º trimestre</t>
  </si>
  <si>
    <t>4º trimestre</t>
  </si>
  <si>
    <t>janeiro</t>
  </si>
  <si>
    <t xml:space="preserve">abril </t>
  </si>
  <si>
    <t>julho</t>
  </si>
  <si>
    <t>outubro</t>
  </si>
  <si>
    <t>fevereiro</t>
  </si>
  <si>
    <t>maio</t>
  </si>
  <si>
    <t>agosto</t>
  </si>
  <si>
    <t>novembro</t>
  </si>
  <si>
    <t>março</t>
  </si>
  <si>
    <t>junho</t>
  </si>
  <si>
    <t>setembro</t>
  </si>
  <si>
    <t>dezembro</t>
  </si>
  <si>
    <t>Total</t>
  </si>
  <si>
    <t>Percentual IRPJ</t>
  </si>
  <si>
    <t xml:space="preserve">B. Cálculo </t>
  </si>
  <si>
    <t>IRPJ (15%)</t>
  </si>
  <si>
    <t>ADICIONAL (10%)</t>
  </si>
  <si>
    <t>TOTAL IRPJ</t>
  </si>
  <si>
    <t>Percentual CSLL</t>
  </si>
  <si>
    <t>CSLL (9%)</t>
  </si>
  <si>
    <t>PIS (0,65%</t>
  </si>
  <si>
    <t>COFINS (3%)</t>
  </si>
  <si>
    <t>TRIBUTOS E CONTRIBUIÇOES FEDERAIS</t>
  </si>
  <si>
    <t>TOTAL</t>
  </si>
  <si>
    <t>IRPJ</t>
  </si>
  <si>
    <t>CSLL</t>
  </si>
  <si>
    <t>PIS (0,65%)</t>
  </si>
  <si>
    <t>COFINS (3,00%)</t>
  </si>
  <si>
    <t>Carga Tributária sobre a Receita Total em %</t>
  </si>
  <si>
    <t xml:space="preserve">DEMONSTRAÇÃO DA CONTRIBUIÇÃO SOCIAL SOBRE O LUCRO LÍQUIDO            (Artigo 390/04 da SRF) </t>
  </si>
  <si>
    <t xml:space="preserve">Resultado antes da CSLL </t>
  </si>
  <si>
    <t xml:space="preserve">(+) ADIÇÕES </t>
  </si>
  <si>
    <t>-</t>
  </si>
  <si>
    <t xml:space="preserve">Total das Adições </t>
  </si>
  <si>
    <t xml:space="preserve">(-) EXCLUSÕES </t>
  </si>
  <si>
    <t xml:space="preserve">Total das Exclusões    </t>
  </si>
  <si>
    <t xml:space="preserve">(=) Base de Cálculo antes da Compensação da CSLL </t>
  </si>
  <si>
    <t xml:space="preserve">(-) Compensação da Base de Cálculo Negativa </t>
  </si>
  <si>
    <t xml:space="preserve">(=) BASE DE CÁLCULO DA CONTRIBUIÇÃO SOCIAL </t>
  </si>
  <si>
    <t>(=) CONTRIBUIÇÃO SOCIAL  (9%)</t>
  </si>
  <si>
    <t xml:space="preserve">DEMONSTRAÇÃO DO LUCRO REAL </t>
  </si>
  <si>
    <t xml:space="preserve">(Artigo 247 do RIR/99) </t>
  </si>
  <si>
    <t xml:space="preserve">Resultado antes do IR </t>
  </si>
  <si>
    <t xml:space="preserve">CSLL </t>
  </si>
  <si>
    <t xml:space="preserve">(=) Lucro Real antes da Compensação de Prejuízos Fiscais </t>
  </si>
  <si>
    <t xml:space="preserve">(-) Compensação de Prejuízos Fiscais </t>
  </si>
  <si>
    <t xml:space="preserve">(=) LUCRO REAL </t>
  </si>
  <si>
    <t xml:space="preserve">(=) IRPJ ALÍQUOTA NORMAL (15%) </t>
  </si>
  <si>
    <t xml:space="preserve">(=) IRPJ ADICIONAL (10%) </t>
  </si>
  <si>
    <t>(=) TOTAL DO IRPJ</t>
  </si>
  <si>
    <t xml:space="preserve">CONTRIBUIÇÃO </t>
  </si>
  <si>
    <t>CRÉDITOS</t>
  </si>
  <si>
    <t>PIS (1,65%)</t>
  </si>
  <si>
    <t>COFINS (7,60%)</t>
  </si>
  <si>
    <t>TRIBUTOS E CONTRIBUIÇÕES</t>
  </si>
  <si>
    <t>LUCRO PRESUMIDO</t>
  </si>
  <si>
    <t>LUCRO REAL</t>
  </si>
  <si>
    <t>VARIAÇÃO ANUAL</t>
  </si>
  <si>
    <t>TOTAL IRPJ / CSLL</t>
  </si>
  <si>
    <t>TOTAL PIS / COFINS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</si>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</sst>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</numFmts>
  <fonts count="2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7030A0"/>
      <name val="Arial"/>
      <family val="2"/>
    </font>
    <font>
      <sz val="11"/>
      <color rgb="FF0000CC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3"/>
      <color rgb="FF0000CC"/>
      <name val="Arial"/>
      <family val="2"/>
    </font>
    <font>
      <b/>
      <sz val="15"/>
      <color theme="6" tint="-0.249977111117893"/>
      <name val="Arial"/>
      <family val="2"/>
    </font>
    <font>
      <b/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/>
      <bottom style="double">
        <color rgb="FFFF8001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FF800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0" fontId="5" fillId="0" borderId="48" applyNumberFormat="0" applyFill="0" applyAlignment="0" applyProtection="0"/>
    <xf numFmtId="0" fontId="6" fillId="0" borderId="1" applyFont="0" applyFill="0" applyAlignment="0">
      <alignment horizontal="center" vertical="center" wrapText="1" readingOrder="1"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8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2" fillId="0" borderId="2" xfId="0" applyFont="1" applyBorder="1"/>
    <xf numFmtId="164" fontId="4" fillId="0" borderId="0" xfId="4" applyNumberFormat="1" applyFont="1"/>
    <xf numFmtId="10" fontId="1" fillId="0" borderId="0" xfId="3" applyNumberFormat="1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3" xfId="0" applyFont="1" applyBorder="1"/>
    <xf numFmtId="0" fontId="6" fillId="2" borderId="49" xfId="1" applyFont="1" applyFill="1" applyBorder="1"/>
    <xf numFmtId="164" fontId="6" fillId="2" borderId="48" xfId="1" applyNumberFormat="1" applyFont="1" applyFill="1"/>
    <xf numFmtId="164" fontId="6" fillId="2" borderId="50" xfId="1" applyNumberFormat="1" applyFont="1" applyFill="1" applyBorder="1"/>
    <xf numFmtId="164" fontId="6" fillId="2" borderId="51" xfId="1" applyNumberFormat="1" applyFont="1" applyFill="1" applyBorder="1"/>
    <xf numFmtId="0" fontId="6" fillId="2" borderId="4" xfId="1" applyFont="1" applyFill="1" applyBorder="1"/>
    <xf numFmtId="164" fontId="6" fillId="2" borderId="5" xfId="1" applyNumberFormat="1" applyFont="1" applyFill="1" applyBorder="1"/>
    <xf numFmtId="10" fontId="6" fillId="2" borderId="6" xfId="1" applyNumberFormat="1" applyFont="1" applyFill="1" applyBorder="1"/>
    <xf numFmtId="0" fontId="8" fillId="2" borderId="7" xfId="1" applyFont="1" applyFill="1" applyBorder="1" applyAlignment="1">
      <alignment horizontal="center"/>
    </xf>
    <xf numFmtId="0" fontId="9" fillId="0" borderId="3" xfId="0" applyFont="1" applyBorder="1"/>
    <xf numFmtId="164" fontId="9" fillId="0" borderId="0" xfId="4" applyNumberFormat="1" applyFont="1" applyBorder="1"/>
    <xf numFmtId="0" fontId="9" fillId="0" borderId="0" xfId="0" applyFont="1"/>
    <xf numFmtId="0" fontId="9" fillId="0" borderId="8" xfId="0" applyFont="1" applyBorder="1"/>
    <xf numFmtId="0" fontId="9" fillId="0" borderId="2" xfId="0" applyFont="1" applyBorder="1"/>
    <xf numFmtId="164" fontId="9" fillId="0" borderId="2" xfId="4" applyNumberFormat="1" applyFont="1" applyBorder="1"/>
    <xf numFmtId="164" fontId="9" fillId="0" borderId="8" xfId="4" applyNumberFormat="1" applyFont="1" applyBorder="1"/>
    <xf numFmtId="0" fontId="3" fillId="0" borderId="9" xfId="0" applyFont="1" applyBorder="1"/>
    <xf numFmtId="164" fontId="3" fillId="0" borderId="10" xfId="4" applyNumberFormat="1" applyFont="1" applyBorder="1"/>
    <xf numFmtId="0" fontId="3" fillId="0" borderId="11" xfId="0" applyFont="1" applyBorder="1"/>
    <xf numFmtId="164" fontId="3" fillId="0" borderId="12" xfId="4" applyNumberFormat="1" applyFont="1" applyBorder="1"/>
    <xf numFmtId="164" fontId="3" fillId="0" borderId="13" xfId="4" applyNumberFormat="1" applyFont="1" applyBorder="1"/>
    <xf numFmtId="9" fontId="9" fillId="0" borderId="0" xfId="4" applyNumberFormat="1" applyFont="1" applyBorder="1"/>
    <xf numFmtId="9" fontId="9" fillId="0" borderId="8" xfId="4" applyNumberFormat="1" applyFont="1" applyBorder="1"/>
    <xf numFmtId="0" fontId="3" fillId="0" borderId="3" xfId="0" applyFont="1" applyBorder="1"/>
    <xf numFmtId="164" fontId="3" fillId="0" borderId="0" xfId="4" applyNumberFormat="1" applyFont="1" applyBorder="1"/>
    <xf numFmtId="164" fontId="3" fillId="0" borderId="14" xfId="4" applyNumberFormat="1" applyFont="1" applyBorder="1"/>
    <xf numFmtId="164" fontId="3" fillId="0" borderId="15" xfId="4" applyNumberFormat="1" applyFont="1" applyBorder="1"/>
    <xf numFmtId="164" fontId="3" fillId="0" borderId="16" xfId="4" applyNumberFormat="1" applyFont="1" applyBorder="1"/>
    <xf numFmtId="0" fontId="9" fillId="0" borderId="17" xfId="0" applyFont="1" applyBorder="1"/>
    <xf numFmtId="164" fontId="9" fillId="0" borderId="18" xfId="4" applyNumberFormat="1" applyFont="1" applyBorder="1"/>
    <xf numFmtId="0" fontId="9" fillId="0" borderId="19" xfId="0" applyFont="1" applyBorder="1"/>
    <xf numFmtId="164" fontId="9" fillId="0" borderId="20" xfId="4" applyNumberFormat="1" applyFont="1" applyBorder="1"/>
    <xf numFmtId="164" fontId="9" fillId="0" borderId="21" xfId="4" applyNumberFormat="1" applyFont="1" applyBorder="1"/>
    <xf numFmtId="0" fontId="6" fillId="0" borderId="22" xfId="0" applyFont="1" applyBorder="1"/>
    <xf numFmtId="164" fontId="6" fillId="0" borderId="23" xfId="4" applyNumberFormat="1" applyFont="1" applyBorder="1"/>
    <xf numFmtId="0" fontId="6" fillId="0" borderId="24" xfId="0" applyFont="1" applyBorder="1"/>
    <xf numFmtId="164" fontId="6" fillId="0" borderId="25" xfId="4" applyNumberFormat="1" applyFont="1" applyBorder="1"/>
    <xf numFmtId="0" fontId="9" fillId="3" borderId="3" xfId="0" applyFont="1" applyFill="1" applyBorder="1"/>
    <xf numFmtId="164" fontId="9" fillId="3" borderId="20" xfId="4" applyNumberFormat="1" applyFont="1" applyFill="1" applyBorder="1"/>
    <xf numFmtId="0" fontId="9" fillId="3" borderId="2" xfId="0" applyFont="1" applyFill="1" applyBorder="1"/>
    <xf numFmtId="164" fontId="9" fillId="3" borderId="8" xfId="4" applyNumberFormat="1" applyFont="1" applyFill="1" applyBorder="1"/>
    <xf numFmtId="0" fontId="10" fillId="0" borderId="22" xfId="0" applyFont="1" applyBorder="1"/>
    <xf numFmtId="164" fontId="10" fillId="0" borderId="23" xfId="4" applyNumberFormat="1" applyFont="1" applyBorder="1"/>
    <xf numFmtId="0" fontId="10" fillId="0" borderId="24" xfId="0" applyFont="1" applyBorder="1"/>
    <xf numFmtId="164" fontId="10" fillId="0" borderId="25" xfId="4" applyNumberFormat="1" applyFont="1" applyBorder="1"/>
    <xf numFmtId="0" fontId="11" fillId="0" borderId="22" xfId="0" applyFont="1" applyBorder="1"/>
    <xf numFmtId="164" fontId="11" fillId="0" borderId="23" xfId="4" applyNumberFormat="1" applyFont="1" applyBorder="1"/>
    <xf numFmtId="0" fontId="11" fillId="0" borderId="24" xfId="0" applyFont="1" applyBorder="1"/>
    <xf numFmtId="164" fontId="11" fillId="0" borderId="25" xfId="4" applyNumberFormat="1" applyFont="1" applyBorder="1"/>
    <xf numFmtId="0" fontId="8" fillId="0" borderId="26" xfId="0" applyFont="1" applyBorder="1"/>
    <xf numFmtId="164" fontId="6" fillId="0" borderId="27" xfId="4" applyNumberFormat="1" applyFont="1" applyBorder="1"/>
    <xf numFmtId="0" fontId="8" fillId="0" borderId="28" xfId="0" applyFont="1" applyBorder="1"/>
    <xf numFmtId="164" fontId="6" fillId="0" borderId="7" xfId="4" applyNumberFormat="1" applyFont="1" applyBorder="1"/>
    <xf numFmtId="0" fontId="12" fillId="0" borderId="29" xfId="0" applyFont="1" applyBorder="1"/>
    <xf numFmtId="164" fontId="12" fillId="0" borderId="30" xfId="4" applyNumberFormat="1" applyFont="1" applyBorder="1"/>
    <xf numFmtId="0" fontId="12" fillId="0" borderId="31" xfId="0" applyFont="1" applyBorder="1"/>
    <xf numFmtId="164" fontId="12" fillId="0" borderId="32" xfId="4" applyNumberFormat="1" applyFont="1" applyBorder="1"/>
    <xf numFmtId="43" fontId="4" fillId="0" borderId="0" xfId="4" applyFont="1"/>
    <xf numFmtId="0" fontId="9" fillId="0" borderId="33" xfId="0" applyFont="1" applyBorder="1" applyAlignment="1">
      <alignment horizontal="right" vertical="center" wrapText="1"/>
    </xf>
    <xf numFmtId="0" fontId="9" fillId="0" borderId="33" xfId="0" applyFont="1" applyBorder="1" applyAlignment="1">
      <alignment vertical="center" wrapText="1"/>
    </xf>
    <xf numFmtId="0" fontId="7" fillId="0" borderId="33" xfId="0" applyFont="1" applyBorder="1" applyAlignment="1">
      <alignment horizontal="right" vertical="center" wrapText="1"/>
    </xf>
    <xf numFmtId="43" fontId="9" fillId="0" borderId="33" xfId="4" applyFont="1" applyBorder="1" applyAlignment="1">
      <alignment horizontal="right" vertical="center" wrapText="1"/>
    </xf>
    <xf numFmtId="0" fontId="9" fillId="0" borderId="33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10" fontId="9" fillId="0" borderId="33" xfId="0" applyNumberFormat="1" applyFont="1" applyBorder="1" applyAlignment="1">
      <alignment horizontal="right" vertical="center" wrapText="1"/>
    </xf>
    <xf numFmtId="43" fontId="9" fillId="0" borderId="33" xfId="0" applyNumberFormat="1" applyFont="1" applyBorder="1" applyAlignment="1">
      <alignment horizontal="right" vertical="center" wrapText="1"/>
    </xf>
    <xf numFmtId="43" fontId="7" fillId="0" borderId="33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vertical="center" wrapText="1"/>
    </xf>
    <xf numFmtId="0" fontId="13" fillId="0" borderId="33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justify" vertical="center" wrapText="1"/>
    </xf>
    <xf numFmtId="43" fontId="6" fillId="0" borderId="33" xfId="4" applyFont="1" applyBorder="1" applyAlignment="1">
      <alignment horizontal="right" vertical="center" wrapText="1"/>
    </xf>
    <xf numFmtId="0" fontId="6" fillId="0" borderId="33" xfId="0" applyFont="1" applyBorder="1" applyAlignment="1">
      <alignment horizontal="justify" vertical="center"/>
    </xf>
    <xf numFmtId="10" fontId="6" fillId="0" borderId="33" xfId="0" applyNumberFormat="1" applyFont="1" applyBorder="1" applyAlignment="1">
      <alignment horizontal="right" vertical="center"/>
    </xf>
    <xf numFmtId="10" fontId="6" fillId="0" borderId="33" xfId="0" applyNumberFormat="1" applyFont="1" applyBorder="1" applyAlignment="1">
      <alignment horizontal="right" vertical="center" wrapText="1"/>
    </xf>
    <xf numFmtId="9" fontId="9" fillId="0" borderId="33" xfId="0" applyNumberFormat="1" applyFont="1" applyBorder="1" applyAlignment="1">
      <alignment horizontal="right" vertical="center" wrapText="1"/>
    </xf>
    <xf numFmtId="9" fontId="6" fillId="0" borderId="33" xfId="0" applyNumberFormat="1" applyFont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 vertical="center" wrapText="1"/>
    </xf>
    <xf numFmtId="164" fontId="6" fillId="0" borderId="33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43" fontId="14" fillId="0" borderId="0" xfId="0" applyNumberFormat="1" applyFont="1" applyAlignment="1">
      <alignment vertical="center"/>
    </xf>
    <xf numFmtId="165" fontId="9" fillId="0" borderId="33" xfId="4" applyNumberFormat="1" applyFont="1" applyBorder="1" applyAlignment="1">
      <alignment horizontal="right" vertical="center" wrapText="1"/>
    </xf>
    <xf numFmtId="0" fontId="15" fillId="0" borderId="52" xfId="0" applyFont="1" applyBorder="1" applyAlignment="1">
      <alignment horizontal="left" vertical="center" wrapText="1" indent="1" readingOrder="1"/>
    </xf>
    <xf numFmtId="0" fontId="15" fillId="0" borderId="53" xfId="0" applyFont="1" applyBorder="1" applyAlignment="1">
      <alignment horizontal="left" vertical="center" wrapText="1" indent="1" readingOrder="1"/>
    </xf>
    <xf numFmtId="43" fontId="15" fillId="0" borderId="54" xfId="4" applyFont="1" applyBorder="1" applyAlignment="1">
      <alignment horizontal="right" vertical="center" wrapText="1" indent="1" readingOrder="1"/>
    </xf>
    <xf numFmtId="43" fontId="15" fillId="0" borderId="54" xfId="4" applyFont="1" applyBorder="1" applyAlignment="1">
      <alignment horizontal="left" vertical="center" wrapText="1" indent="1"/>
    </xf>
    <xf numFmtId="43" fontId="15" fillId="0" borderId="55" xfId="4" applyFont="1" applyBorder="1" applyAlignment="1">
      <alignment horizontal="right" vertical="center" wrapText="1" indent="1" readingOrder="1"/>
    </xf>
    <xf numFmtId="0" fontId="15" fillId="0" borderId="1" xfId="0" applyFont="1" applyBorder="1" applyAlignment="1">
      <alignment horizontal="left" vertical="center" wrapText="1" indent="1" readingOrder="1"/>
    </xf>
    <xf numFmtId="43" fontId="15" fillId="0" borderId="34" xfId="4" applyFont="1" applyBorder="1" applyAlignment="1">
      <alignment horizontal="right" vertical="center" wrapText="1" indent="1" readingOrder="1"/>
    </xf>
    <xf numFmtId="43" fontId="15" fillId="0" borderId="34" xfId="4" applyFont="1" applyBorder="1" applyAlignment="1">
      <alignment horizontal="left" vertical="center" wrapText="1" indent="1"/>
    </xf>
    <xf numFmtId="0" fontId="15" fillId="0" borderId="35" xfId="0" applyFont="1" applyBorder="1" applyAlignment="1">
      <alignment horizontal="left" vertical="center" wrapText="1" indent="1" readingOrder="1"/>
    </xf>
    <xf numFmtId="43" fontId="15" fillId="0" borderId="36" xfId="4" applyFont="1" applyBorder="1" applyAlignment="1">
      <alignment horizontal="right" vertical="center" wrapText="1" indent="1" readingOrder="1"/>
    </xf>
    <xf numFmtId="0" fontId="8" fillId="2" borderId="26" xfId="1" applyFont="1" applyFill="1" applyBorder="1" applyAlignment="1">
      <alignment horizontal="center"/>
    </xf>
    <xf numFmtId="164" fontId="6" fillId="2" borderId="56" xfId="1" applyNumberFormat="1" applyFont="1" applyFill="1" applyBorder="1"/>
    <xf numFmtId="164" fontId="6" fillId="2" borderId="49" xfId="1" applyNumberFormat="1" applyFont="1" applyFill="1" applyBorder="1"/>
    <xf numFmtId="0" fontId="9" fillId="0" borderId="37" xfId="0" applyFont="1" applyBorder="1"/>
    <xf numFmtId="0" fontId="9" fillId="0" borderId="36" xfId="0" applyFont="1" applyBorder="1"/>
    <xf numFmtId="0" fontId="8" fillId="2" borderId="38" xfId="1" applyFont="1" applyFill="1" applyBorder="1" applyAlignment="1">
      <alignment horizontal="center"/>
    </xf>
    <xf numFmtId="10" fontId="6" fillId="2" borderId="4" xfId="3" applyNumberFormat="1" applyFont="1" applyFill="1" applyBorder="1"/>
    <xf numFmtId="0" fontId="16" fillId="0" borderId="1" xfId="0" applyFont="1" applyBorder="1" applyAlignment="1">
      <alignment horizontal="left" vertical="center" wrapText="1" indent="1" readingOrder="1"/>
    </xf>
    <xf numFmtId="10" fontId="16" fillId="0" borderId="34" xfId="3" applyNumberFormat="1" applyFont="1" applyBorder="1" applyAlignment="1">
      <alignment horizontal="right" vertical="center" wrapText="1" indent="1" readingOrder="1"/>
    </xf>
    <xf numFmtId="165" fontId="16" fillId="0" borderId="34" xfId="4" applyNumberFormat="1" applyFont="1" applyBorder="1" applyAlignment="1">
      <alignment horizontal="left" vertical="center" wrapText="1" indent="1"/>
    </xf>
    <xf numFmtId="10" fontId="16" fillId="4" borderId="34" xfId="3" applyNumberFormat="1" applyFont="1" applyFill="1" applyBorder="1" applyAlignment="1">
      <alignment horizontal="right" vertical="center" wrapText="1" indent="1" readingOrder="1"/>
    </xf>
    <xf numFmtId="0" fontId="9" fillId="5" borderId="33" xfId="0" applyFont="1" applyFill="1" applyBorder="1" applyAlignment="1">
      <alignment horizontal="justify" vertical="center" wrapText="1"/>
    </xf>
    <xf numFmtId="0" fontId="7" fillId="5" borderId="33" xfId="0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 readingOrder="1"/>
    </xf>
    <xf numFmtId="43" fontId="17" fillId="0" borderId="34" xfId="4" applyFont="1" applyBorder="1" applyAlignment="1">
      <alignment horizontal="center" vertical="center" wrapText="1" readingOrder="1"/>
    </xf>
    <xf numFmtId="166" fontId="16" fillId="0" borderId="34" xfId="4" applyNumberFormat="1" applyFont="1" applyBorder="1" applyAlignment="1">
      <alignment horizontal="left" vertical="center" wrapText="1" indent="1"/>
    </xf>
    <xf numFmtId="0" fontId="6" fillId="0" borderId="33" xfId="0" applyFont="1" applyBorder="1" applyAlignment="1">
      <alignment horizontal="center" vertical="center" wrapText="1"/>
    </xf>
    <xf numFmtId="164" fontId="3" fillId="0" borderId="8" xfId="4" applyNumberFormat="1" applyFont="1" applyBorder="1"/>
    <xf numFmtId="0" fontId="9" fillId="3" borderId="22" xfId="0" applyFont="1" applyFill="1" applyBorder="1"/>
    <xf numFmtId="164" fontId="9" fillId="3" borderId="23" xfId="4" applyNumberFormat="1" applyFont="1" applyFill="1" applyBorder="1"/>
    <xf numFmtId="0" fontId="9" fillId="3" borderId="24" xfId="0" applyFont="1" applyFill="1" applyBorder="1"/>
    <xf numFmtId="164" fontId="9" fillId="3" borderId="25" xfId="4" applyNumberFormat="1" applyFont="1" applyFill="1" applyBorder="1"/>
    <xf numFmtId="9" fontId="9" fillId="0" borderId="0" xfId="4" applyNumberFormat="1" applyFont="1" applyBorder="1" applyAlignment="1">
      <alignment horizontal="center"/>
    </xf>
    <xf numFmtId="9" fontId="9" fillId="0" borderId="8" xfId="4" applyNumberFormat="1" applyFont="1" applyBorder="1" applyAlignment="1">
      <alignment horizontal="center"/>
    </xf>
    <xf numFmtId="167" fontId="0" fillId="0" borderId="0" xfId="3" applyNumberFormat="1" applyFont="1" applyAlignment="1">
      <alignment vertical="center"/>
    </xf>
    <xf numFmtId="167" fontId="0" fillId="0" borderId="0" xfId="3" applyNumberFormat="1" applyFont="1"/>
    <xf numFmtId="167" fontId="14" fillId="0" borderId="0" xfId="3" applyNumberFormat="1" applyFont="1" applyAlignment="1">
      <alignment vertical="center"/>
    </xf>
    <xf numFmtId="10" fontId="14" fillId="0" borderId="0" xfId="3" applyNumberFormat="1" applyFont="1" applyAlignment="1">
      <alignment vertic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 indent="1" readingOrder="1"/>
    </xf>
    <xf numFmtId="165" fontId="6" fillId="0" borderId="34" xfId="4" applyNumberFormat="1" applyFont="1" applyBorder="1" applyAlignment="1">
      <alignment horizontal="left" vertical="center" wrapText="1" indent="1"/>
    </xf>
    <xf numFmtId="166" fontId="6" fillId="0" borderId="34" xfId="4" applyNumberFormat="1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 readingOrder="1"/>
    </xf>
    <xf numFmtId="165" fontId="8" fillId="0" borderId="34" xfId="4" applyNumberFormat="1" applyFont="1" applyBorder="1" applyAlignment="1">
      <alignment horizontal="left" vertical="center" wrapText="1" indent="1"/>
    </xf>
    <xf numFmtId="166" fontId="8" fillId="0" borderId="34" xfId="4" applyNumberFormat="1" applyFont="1" applyBorder="1" applyAlignment="1">
      <alignment horizontal="left" vertical="center" wrapText="1" indent="1"/>
    </xf>
    <xf numFmtId="10" fontId="9" fillId="6" borderId="33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justify" vertical="center"/>
    </xf>
    <xf numFmtId="0" fontId="8" fillId="0" borderId="42" xfId="0" applyFont="1" applyBorder="1" applyAlignment="1">
      <alignment horizontal="justify" vertical="center"/>
    </xf>
    <xf numFmtId="10" fontId="8" fillId="0" borderId="41" xfId="0" applyNumberFormat="1" applyFont="1" applyBorder="1" applyAlignment="1">
      <alignment horizontal="right" vertical="center"/>
    </xf>
    <xf numFmtId="10" fontId="8" fillId="0" borderId="42" xfId="0" applyNumberFormat="1" applyFont="1" applyBorder="1" applyAlignment="1">
      <alignment horizontal="right" vertical="center"/>
    </xf>
    <xf numFmtId="0" fontId="18" fillId="0" borderId="44" xfId="0" quotePrefix="1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/>
    <xf numFmtId="0" fontId="8" fillId="2" borderId="7" xfId="1" applyFont="1" applyFill="1" applyBorder="1" applyAlignment="1"/>
    <xf numFmtId="0" fontId="19" fillId="0" borderId="47" xfId="0" applyFont="1" applyBorder="1" applyAlignment="1">
      <alignment horizontal="center" vertical="center" wrapText="1" readingOrder="1"/>
    </xf>
    <xf numFmtId="0" fontId="19" fillId="0" borderId="40" xfId="0" applyFont="1" applyBorder="1" applyAlignment="1">
      <alignment horizontal="center" vertical="center" wrapText="1" readingOrder="1"/>
    </xf>
    <xf numFmtId="0" fontId="19" fillId="0" borderId="57" xfId="0" applyFont="1" applyBorder="1" applyAlignment="1">
      <alignment horizontal="center" vertical="center" wrapText="1" readingOrder="1"/>
    </xf>
    <xf numFmtId="0" fontId="19" fillId="0" borderId="58" xfId="0" applyFont="1" applyBorder="1" applyAlignment="1">
      <alignment horizontal="center" vertical="center" wrapText="1" readingOrder="1"/>
    </xf>
  </cellXfs>
  <cellStyles count="5">
    <cellStyle name="Célula Vinculada" xfId="1" builtinId="24"/>
    <cellStyle name="Estilo 1" xfId="2" xr:uid="{00000000-0005-0000-0000-000001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LUCRO</a:t>
            </a:r>
            <a:r>
              <a:rPr lang="pt-BR" b="1" baseline="0"/>
              <a:t> REAL X LUCRO PRESUMIDO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072353455818023"/>
          <c:y val="0.22781641878098571"/>
          <c:w val="0.81361329833770779"/>
          <c:h val="0.47169510061242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'Lucro Presumido X Lucro Real'!$C$2</c:f>
              <c:strCache>
                <c:ptCount val="1"/>
                <c:pt idx="0">
                  <c:v> LUCRO PRESUMIDO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2.08550550682929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39-4F0F-9479-869DFABAF2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'Lucro Presumido X Lucro Real'!$B$3:$B$10</c:f>
              <c:strCache>
                <c:ptCount val="8"/>
                <c:pt idx="0">
                  <c:v>IRPJ</c:v>
                </c:pt>
                <c:pt idx="1">
                  <c:v>CSLL</c:v>
                </c:pt>
                <c:pt idx="2">
                  <c:v>TOTAL IRPJ / CSLL</c:v>
                </c:pt>
                <c:pt idx="3">
                  <c:v>PIS</c:v>
                </c:pt>
                <c:pt idx="4">
                  <c:v>COFINS</c:v>
                </c:pt>
                <c:pt idx="5">
                  <c:v>TOTAL PIS / COFINS</c:v>
                </c:pt>
                <c:pt idx="6">
                  <c:v>TOTAL GERAL</c:v>
                </c:pt>
                <c:pt idx="7">
                  <c:v>Carga Tributária sobre a Receita Total em %</c:v>
                </c:pt>
              </c:strCache>
            </c:strRef>
          </c:cat>
          <c:val>
            <c:numRef>
              <c:f>'Lucro Presumido X Lucro Real'!$C$3:$C$10</c:f>
              <c:numCache>
                <c:formatCode>_-* #,##0_-;\-* #,##0_-;_-* "-"??_-;_-@_-</c:formatCode>
                <c:ptCount val="8"/>
                <c:pt idx="0">
                  <c:v>1416000</c:v>
                </c:pt>
                <c:pt idx="1">
                  <c:v>518400</c:v>
                </c:pt>
                <c:pt idx="2">
                  <c:v>1934400</c:v>
                </c:pt>
                <c:pt idx="3">
                  <c:v>117000.00000000001</c:v>
                </c:pt>
                <c:pt idx="4">
                  <c:v>540000</c:v>
                </c:pt>
                <c:pt idx="5">
                  <c:v>657000</c:v>
                </c:pt>
                <c:pt idx="6">
                  <c:v>2591400</c:v>
                </c:pt>
                <c:pt idx="7" formatCode="0.00%">
                  <c:v>0.14396666666666666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9-4F0F-9479-869DFABAF202}"/>
            </c:ext>
          </c:extLst>
        </c:ser>
        <c:ser>
          <c:idx val="1"/>
          <c:order val="1"/>
          <c:tx>
            <c:strRef>
              <c:f>'Lucro Presumido X Lucro Real'!$D$2</c:f>
              <c:strCache>
                <c:ptCount val="1"/>
                <c:pt idx="0">
                  <c:v> LUCRO REAL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'Lucro Presumido X Lucro Real'!$B$3:$B$10</c:f>
              <c:strCache>
                <c:ptCount val="8"/>
                <c:pt idx="0">
                  <c:v>IRPJ</c:v>
                </c:pt>
                <c:pt idx="1">
                  <c:v>CSLL</c:v>
                </c:pt>
                <c:pt idx="2">
                  <c:v>TOTAL IRPJ / CSLL</c:v>
                </c:pt>
                <c:pt idx="3">
                  <c:v>PIS</c:v>
                </c:pt>
                <c:pt idx="4">
                  <c:v>COFINS</c:v>
                </c:pt>
                <c:pt idx="5">
                  <c:v>TOTAL PIS / COFINS</c:v>
                </c:pt>
                <c:pt idx="6">
                  <c:v>TOTAL GERAL</c:v>
                </c:pt>
                <c:pt idx="7">
                  <c:v>Carga Tributária sobre a Receita Total em %</c:v>
                </c:pt>
              </c:strCache>
            </c:strRef>
          </c:cat>
          <c:val>
            <c:numRef>
              <c:f>'Lucro Presumido X Lucro Real'!$D$3:$D$10</c:f>
              <c:numCache>
                <c:formatCode>_-* #,##0_-;\-* #,##0_-;_-* "-"??_-;_-@_-</c:formatCode>
                <c:ptCount val="8"/>
                <c:pt idx="0">
                  <c:v>1416000</c:v>
                </c:pt>
                <c:pt idx="1">
                  <c:v>518400</c:v>
                </c:pt>
                <c:pt idx="2">
                  <c:v>1934400</c:v>
                </c:pt>
                <c:pt idx="3">
                  <c:v>177000</c:v>
                </c:pt>
                <c:pt idx="4">
                  <c:v>818000</c:v>
                </c:pt>
                <c:pt idx="5">
                  <c:v>995000</c:v>
                </c:pt>
                <c:pt idx="6">
                  <c:v>2929400</c:v>
                </c:pt>
                <c:pt idx="7" formatCode="0.00%">
                  <c:v>0.16274444444444444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39-4F0F-9479-869DFABAF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697824"/>
        <c:axId val="402698216"/>
      </c:barChart>
      <c:lineChart>
        <c:grouping val="standard"/>
        <c:varyColors val="0"/>
        <c:ser>
          <c:idx val="2"/>
          <c:order val="2"/>
          <c:tx>
            <c:strRef>
              <c:f>'Lucro Presumido X Lucro Real'!$E$2</c:f>
              <c:strCache>
                <c:ptCount val="1"/>
                <c:pt idx="0">
                  <c:v> VARIAÇÃO ANUAL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'Lucro Presumido X Lucro Real'!$B$3:$B$10</c:f>
              <c:strCache>
                <c:ptCount val="8"/>
                <c:pt idx="0">
                  <c:v>IRPJ</c:v>
                </c:pt>
                <c:pt idx="1">
                  <c:v>CSLL</c:v>
                </c:pt>
                <c:pt idx="2">
                  <c:v>TOTAL IRPJ / CSLL</c:v>
                </c:pt>
                <c:pt idx="3">
                  <c:v>PIS</c:v>
                </c:pt>
                <c:pt idx="4">
                  <c:v>COFINS</c:v>
                </c:pt>
                <c:pt idx="5">
                  <c:v>TOTAL PIS / COFINS</c:v>
                </c:pt>
                <c:pt idx="6">
                  <c:v>TOTAL GERAL</c:v>
                </c:pt>
                <c:pt idx="7">
                  <c:v>Carga Tributária sobre a Receita Total em %</c:v>
                </c:pt>
              </c:strCache>
            </c:strRef>
          </c:cat>
          <c:val>
            <c:numRef>
              <c:f>'Lucro Presumido X Lucro Real'!$E$3:$E$10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-59999.999999999985</c:v>
                </c:pt>
                <c:pt idx="4">
                  <c:v>-278000</c:v>
                </c:pt>
                <c:pt idx="5">
                  <c:v>-338000</c:v>
                </c:pt>
                <c:pt idx="6">
                  <c:v>-338000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39-4F0F-9479-869DFABAF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697824"/>
        <c:axId val="402698216"/>
      </c:lineChart>
      <c:catAx>
        <c:axId val="40269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698216"/>
        <c:crosses val="autoZero"/>
        <c:auto val="1"/>
        <c:lblAlgn val="ctr"/>
        <c:lblOffset val="100"/>
        <c:noMultiLvlLbl val="0"/>
      </c:catAx>
      <c:valAx>
        <c:axId val="40269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69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3910012</xdr:colOff>
      <xdr:row>41</xdr:row>
      <xdr:rowOff>87313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71450" y="9705975"/>
          <a:ext cx="3910012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pt-BR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9pPr>
        </a:lstStyle>
        <a:p>
          <a:r>
            <a:rPr lang="pt-BR" sz="1200"/>
            <a:t>Nota: Os valores dos créditos do PIS e Cofins são hipotéticos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13</xdr:row>
      <xdr:rowOff>4762</xdr:rowOff>
    </xdr:from>
    <xdr:to>
      <xdr:col>7</xdr:col>
      <xdr:colOff>552450</xdr:colOff>
      <xdr:row>35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55"/>
  <sheetViews>
    <sheetView showGridLines="0" workbookViewId="0">
      <selection activeCell="C9" sqref="C9"/>
    </sheetView>
  </sheetViews>
  <sheetFormatPr defaultRowHeight="14.45"/>
  <cols>
    <col min="1" max="1" width="5.140625" customWidth="1"/>
    <col min="2" max="2" width="65" customWidth="1"/>
    <col min="3" max="3" width="14" customWidth="1"/>
    <col min="4" max="4" width="17.140625" customWidth="1"/>
    <col min="5" max="5" width="13.140625" customWidth="1"/>
  </cols>
  <sheetData>
    <row r="2" spans="2:3" s="2" customFormat="1" ht="46.5" customHeight="1">
      <c r="B2" s="142" t="s">
        <v>0</v>
      </c>
      <c r="C2" s="143"/>
    </row>
    <row r="3" spans="2:3" s="2" customFormat="1" ht="22.5" customHeight="1">
      <c r="B3" s="75" t="s">
        <v>1</v>
      </c>
      <c r="C3" s="68"/>
    </row>
    <row r="4" spans="2:3" s="2" customFormat="1" ht="22.5" customHeight="1">
      <c r="B4" s="67" t="s">
        <v>2</v>
      </c>
      <c r="C4" s="69">
        <v>6</v>
      </c>
    </row>
    <row r="5" spans="2:3" s="2" customFormat="1" ht="22.5" customHeight="1">
      <c r="B5" s="70" t="s">
        <v>3</v>
      </c>
      <c r="C5" s="69">
        <v>4</v>
      </c>
    </row>
    <row r="6" spans="2:3" s="2" customFormat="1" ht="22.5" customHeight="1">
      <c r="B6" s="78" t="s">
        <v>4</v>
      </c>
      <c r="C6" s="79">
        <f>SUM(C4:C5)</f>
        <v>10</v>
      </c>
    </row>
    <row r="7" spans="2:3" s="2" customFormat="1" ht="9" customHeight="1">
      <c r="B7" s="111"/>
      <c r="C7" s="112"/>
    </row>
    <row r="8" spans="2:3" s="2" customFormat="1" ht="22.5" customHeight="1">
      <c r="B8" s="76" t="s">
        <v>5</v>
      </c>
      <c r="C8" s="77"/>
    </row>
    <row r="9" spans="2:3" s="2" customFormat="1" ht="22.5" customHeight="1">
      <c r="B9" s="70" t="s">
        <v>6</v>
      </c>
      <c r="C9" s="72">
        <v>0.05</v>
      </c>
    </row>
    <row r="10" spans="2:3" s="2" customFormat="1" ht="22.5" customHeight="1">
      <c r="B10" s="70" t="s">
        <v>7</v>
      </c>
      <c r="C10" s="72">
        <v>6.4999999999999997E-3</v>
      </c>
    </row>
    <row r="11" spans="2:3" s="2" customFormat="1" ht="22.5" customHeight="1">
      <c r="B11" s="70" t="s">
        <v>8</v>
      </c>
      <c r="C11" s="72">
        <v>0.03</v>
      </c>
    </row>
    <row r="12" spans="2:3" s="2" customFormat="1" ht="22.5" customHeight="1">
      <c r="B12" s="80" t="s">
        <v>9</v>
      </c>
      <c r="C12" s="81">
        <f>SUM(C9:C11)</f>
        <v>8.6499999999999994E-2</v>
      </c>
    </row>
    <row r="13" spans="2:3" s="2" customFormat="1" ht="9.75" customHeight="1">
      <c r="B13" s="111"/>
      <c r="C13" s="112"/>
    </row>
    <row r="14" spans="2:3" s="2" customFormat="1" ht="22.5" customHeight="1">
      <c r="B14" s="76" t="s">
        <v>10</v>
      </c>
      <c r="C14" s="68"/>
    </row>
    <row r="15" spans="2:3" s="2" customFormat="1" ht="22.5" customHeight="1">
      <c r="B15" s="70" t="s">
        <v>11</v>
      </c>
      <c r="C15" s="72">
        <v>0.09</v>
      </c>
    </row>
    <row r="16" spans="2:3" s="2" customFormat="1" ht="22.5" customHeight="1">
      <c r="B16" s="70" t="s">
        <v>12</v>
      </c>
      <c r="C16" s="72">
        <v>0.08</v>
      </c>
    </row>
    <row r="17" spans="2:3" s="2" customFormat="1" ht="22.5" customHeight="1">
      <c r="B17" s="70" t="s">
        <v>13</v>
      </c>
      <c r="C17" s="72">
        <v>0.01</v>
      </c>
    </row>
    <row r="18" spans="2:3" s="2" customFormat="1" ht="22.5" customHeight="1">
      <c r="B18" s="70" t="s">
        <v>14</v>
      </c>
      <c r="C18" s="136">
        <v>0.32</v>
      </c>
    </row>
    <row r="19" spans="2:3" s="2" customFormat="1" ht="22.5" customHeight="1">
      <c r="B19" s="78" t="s">
        <v>15</v>
      </c>
      <c r="C19" s="82">
        <f>SUM(C15:C18)</f>
        <v>0.5</v>
      </c>
    </row>
    <row r="20" spans="2:3" s="2" customFormat="1" ht="9.75" customHeight="1">
      <c r="B20" s="111"/>
      <c r="C20" s="112"/>
    </row>
    <row r="21" spans="2:3" s="2" customFormat="1" ht="22.5" customHeight="1">
      <c r="B21" s="76" t="s">
        <v>16</v>
      </c>
      <c r="C21" s="68"/>
    </row>
    <row r="22" spans="2:3" s="2" customFormat="1" ht="22.5" customHeight="1">
      <c r="B22" s="70" t="s">
        <v>17</v>
      </c>
      <c r="C22" s="72">
        <v>1</v>
      </c>
    </row>
    <row r="23" spans="2:3" s="2" customFormat="1" ht="22.5" customHeight="1">
      <c r="B23" s="70" t="s">
        <v>18</v>
      </c>
      <c r="C23" s="72">
        <f>-C12</f>
        <v>-8.6499999999999994E-2</v>
      </c>
    </row>
    <row r="24" spans="2:3" s="2" customFormat="1" ht="22.5" customHeight="1">
      <c r="B24" s="70" t="s">
        <v>19</v>
      </c>
      <c r="C24" s="72">
        <f>-C19</f>
        <v>-0.5</v>
      </c>
    </row>
    <row r="25" spans="2:3" s="2" customFormat="1" ht="22.5" customHeight="1">
      <c r="B25" s="144" t="s">
        <v>20</v>
      </c>
      <c r="C25" s="146">
        <f>SUM(C22:C24)</f>
        <v>0.41349999999999998</v>
      </c>
    </row>
    <row r="26" spans="2:3" s="2" customFormat="1" ht="22.5" customHeight="1">
      <c r="B26" s="145"/>
      <c r="C26" s="147"/>
    </row>
    <row r="27" spans="2:3" s="2" customFormat="1" ht="9.75" customHeight="1">
      <c r="B27" s="111"/>
      <c r="C27" s="112"/>
    </row>
    <row r="28" spans="2:3" s="2" customFormat="1" ht="22.5" customHeight="1">
      <c r="B28" s="76" t="s">
        <v>21</v>
      </c>
      <c r="C28" s="68"/>
    </row>
    <row r="29" spans="2:3" s="2" customFormat="1" ht="22.5" customHeight="1">
      <c r="B29" s="70" t="s">
        <v>22</v>
      </c>
      <c r="C29" s="73">
        <f>C6</f>
        <v>10</v>
      </c>
    </row>
    <row r="30" spans="2:3" s="2" customFormat="1" ht="22.5" customHeight="1">
      <c r="B30" s="70" t="s">
        <v>23</v>
      </c>
      <c r="C30" s="72">
        <f>C25</f>
        <v>0.41349999999999998</v>
      </c>
    </row>
    <row r="31" spans="2:3" s="2" customFormat="1" ht="22.5" customHeight="1">
      <c r="B31" s="71" t="s">
        <v>24</v>
      </c>
      <c r="C31" s="74">
        <f>C29/C30</f>
        <v>24.183796856106412</v>
      </c>
    </row>
    <row r="32" spans="2:3" ht="27" customHeight="1">
      <c r="B32" s="1"/>
    </row>
    <row r="33" spans="2:5" ht="27" customHeight="1">
      <c r="B33" s="1"/>
    </row>
    <row r="34" spans="2:5" s="2" customFormat="1" ht="27" customHeight="1">
      <c r="B34" s="116" t="s">
        <v>25</v>
      </c>
      <c r="C34" s="141" t="s">
        <v>26</v>
      </c>
      <c r="D34" s="141" t="s">
        <v>27</v>
      </c>
    </row>
    <row r="35" spans="2:5" s="2" customFormat="1" ht="27" customHeight="1">
      <c r="B35" s="116" t="s">
        <v>28</v>
      </c>
      <c r="C35" s="141"/>
      <c r="D35" s="141"/>
    </row>
    <row r="36" spans="2:5" s="2" customFormat="1" ht="27" customHeight="1">
      <c r="B36" s="70" t="s">
        <v>29</v>
      </c>
      <c r="C36" s="72">
        <v>1</v>
      </c>
      <c r="D36" s="85">
        <f>C31</f>
        <v>24.183796856106412</v>
      </c>
    </row>
    <row r="37" spans="2:5" s="2" customFormat="1" ht="27" customHeight="1">
      <c r="B37" s="70" t="s">
        <v>30</v>
      </c>
      <c r="C37" s="72">
        <f>C12</f>
        <v>8.6499999999999994E-2</v>
      </c>
      <c r="D37" s="85">
        <f>-D36*C37</f>
        <v>-2.0918984280532045</v>
      </c>
    </row>
    <row r="38" spans="2:5" s="2" customFormat="1" ht="27" customHeight="1">
      <c r="B38" s="70" t="s">
        <v>31</v>
      </c>
      <c r="C38" s="66"/>
      <c r="D38" s="85">
        <f>-C6</f>
        <v>-10</v>
      </c>
    </row>
    <row r="39" spans="2:5" s="2" customFormat="1" ht="27" customHeight="1">
      <c r="B39" s="70" t="s">
        <v>32</v>
      </c>
      <c r="C39" s="83">
        <f>C17</f>
        <v>0.01</v>
      </c>
      <c r="D39" s="85">
        <f>-$D$36*C39</f>
        <v>-0.24183796856106413</v>
      </c>
    </row>
    <row r="40" spans="2:5" s="2" customFormat="1" ht="27" customHeight="1">
      <c r="B40" s="78" t="s">
        <v>33</v>
      </c>
      <c r="C40" s="87"/>
      <c r="D40" s="86">
        <f>SUM(D36:D39)</f>
        <v>11.850060459492141</v>
      </c>
    </row>
    <row r="41" spans="2:5" s="2" customFormat="1" ht="27" customHeight="1">
      <c r="B41" s="70" t="s">
        <v>34</v>
      </c>
      <c r="C41" s="83">
        <f>C15</f>
        <v>0.09</v>
      </c>
      <c r="D41" s="85">
        <f>-$D$36*C41</f>
        <v>-2.1765417170495769</v>
      </c>
    </row>
    <row r="42" spans="2:5" s="2" customFormat="1" ht="27" customHeight="1">
      <c r="B42" s="70" t="s">
        <v>35</v>
      </c>
      <c r="C42" s="83">
        <f>C16</f>
        <v>0.08</v>
      </c>
      <c r="D42" s="85">
        <f>-$D$36*C42</f>
        <v>-1.934703748488513</v>
      </c>
    </row>
    <row r="43" spans="2:5" s="2" customFormat="1" ht="27" customHeight="1">
      <c r="B43" s="78" t="s">
        <v>36</v>
      </c>
      <c r="C43" s="84">
        <f>C18</f>
        <v>0.32</v>
      </c>
      <c r="D43" s="86">
        <f>SUM(D40:D42)</f>
        <v>7.7388149939540511</v>
      </c>
      <c r="E43" s="126">
        <f>D43/D36</f>
        <v>0.31999999999999995</v>
      </c>
    </row>
    <row r="46" spans="2:5" ht="15.75" customHeight="1">
      <c r="B46" s="137" t="s">
        <v>37</v>
      </c>
      <c r="C46" s="138"/>
      <c r="D46" s="141" t="s">
        <v>27</v>
      </c>
    </row>
    <row r="47" spans="2:5" ht="15.75" customHeight="1">
      <c r="B47" s="139"/>
      <c r="C47" s="140"/>
      <c r="D47" s="141"/>
    </row>
    <row r="48" spans="2:5" ht="26.25" customHeight="1">
      <c r="B48" s="70" t="s">
        <v>38</v>
      </c>
      <c r="C48" s="89">
        <f>D48/D36</f>
        <v>744299.99999999988</v>
      </c>
      <c r="D48" s="85">
        <f>'Lucro Presumido'!C8+'Lucro Presumido'!E8+'Lucro Presumido'!G8+'Lucro Presumido'!I8</f>
        <v>18000000</v>
      </c>
    </row>
    <row r="49" spans="2:5" ht="26.25" customHeight="1">
      <c r="B49" s="70" t="s">
        <v>30</v>
      </c>
      <c r="C49" s="72">
        <f>C37</f>
        <v>8.6499999999999994E-2</v>
      </c>
      <c r="D49" s="85">
        <f>-D48*C49</f>
        <v>-1557000</v>
      </c>
    </row>
    <row r="50" spans="2:5" ht="26.25" customHeight="1">
      <c r="B50" s="70" t="s">
        <v>31</v>
      </c>
      <c r="C50" s="66"/>
      <c r="D50" s="85">
        <f>D38*C48</f>
        <v>-7442999.9999999991</v>
      </c>
    </row>
    <row r="51" spans="2:5" ht="26.25" customHeight="1">
      <c r="B51" s="70" t="s">
        <v>32</v>
      </c>
      <c r="C51" s="83">
        <v>0.01</v>
      </c>
      <c r="D51" s="85">
        <f>-D48*C51</f>
        <v>-180000</v>
      </c>
    </row>
    <row r="52" spans="2:5" ht="26.25" customHeight="1">
      <c r="B52" s="78" t="s">
        <v>33</v>
      </c>
      <c r="C52" s="87"/>
      <c r="D52" s="86">
        <f>SUM(D48:D51)</f>
        <v>8820000</v>
      </c>
    </row>
    <row r="53" spans="2:5" ht="26.25" customHeight="1">
      <c r="B53" s="70" t="s">
        <v>34</v>
      </c>
      <c r="C53" s="83">
        <f>C15</f>
        <v>0.09</v>
      </c>
      <c r="D53" s="85">
        <f>-D48*C53</f>
        <v>-1620000</v>
      </c>
    </row>
    <row r="54" spans="2:5" ht="26.25" customHeight="1">
      <c r="B54" s="70" t="s">
        <v>35</v>
      </c>
      <c r="C54" s="83">
        <v>0.08</v>
      </c>
      <c r="D54" s="85">
        <f>-D48*C54</f>
        <v>-1440000</v>
      </c>
    </row>
    <row r="55" spans="2:5" ht="26.25" customHeight="1">
      <c r="B55" s="78" t="s">
        <v>36</v>
      </c>
      <c r="C55" s="84">
        <f>C18</f>
        <v>0.32</v>
      </c>
      <c r="D55" s="86">
        <f>SUM(D52:D54)</f>
        <v>5760000</v>
      </c>
      <c r="E55" s="127">
        <f>D55/D48</f>
        <v>0.32</v>
      </c>
    </row>
  </sheetData>
  <mergeCells count="7">
    <mergeCell ref="B46:C47"/>
    <mergeCell ref="D46:D47"/>
    <mergeCell ref="B2:C2"/>
    <mergeCell ref="B25:B26"/>
    <mergeCell ref="C25:C26"/>
    <mergeCell ref="C34:C35"/>
    <mergeCell ref="D34:D35"/>
  </mergeCells>
  <printOptions horizontalCentered="1" verticalCentered="1"/>
  <pageMargins left="0.15748031496062992" right="0.11811023622047245" top="0.42" bottom="0.59" header="0.31496062992125984" footer="0.31496062992125984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5"/>
  <sheetViews>
    <sheetView showGridLines="0" tabSelected="1" topLeftCell="A6" workbookViewId="0">
      <selection activeCell="C19" sqref="C19"/>
    </sheetView>
  </sheetViews>
  <sheetFormatPr defaultRowHeight="14.45"/>
  <cols>
    <col min="1" max="1" width="5.140625" customWidth="1"/>
    <col min="2" max="2" width="65" customWidth="1"/>
    <col min="3" max="3" width="14" customWidth="1"/>
    <col min="4" max="4" width="17.140625" customWidth="1"/>
    <col min="5" max="5" width="13.140625" customWidth="1"/>
  </cols>
  <sheetData>
    <row r="2" spans="2:3" s="2" customFormat="1" ht="46.5" customHeight="1">
      <c r="B2" s="142" t="s">
        <v>0</v>
      </c>
      <c r="C2" s="143"/>
    </row>
    <row r="3" spans="2:3" s="2" customFormat="1" ht="22.5" customHeight="1">
      <c r="B3" s="75" t="s">
        <v>1</v>
      </c>
      <c r="C3" s="68"/>
    </row>
    <row r="4" spans="2:3" s="2" customFormat="1" ht="22.5" customHeight="1">
      <c r="B4" s="67" t="s">
        <v>2</v>
      </c>
      <c r="C4" s="69">
        <v>6</v>
      </c>
    </row>
    <row r="5" spans="2:3" s="2" customFormat="1" ht="22.5" customHeight="1">
      <c r="B5" s="70" t="s">
        <v>3</v>
      </c>
      <c r="C5" s="69">
        <v>4</v>
      </c>
    </row>
    <row r="6" spans="2:3" s="2" customFormat="1" ht="22.5" customHeight="1">
      <c r="B6" s="78" t="s">
        <v>4</v>
      </c>
      <c r="C6" s="79">
        <f>SUM(C4:C5)</f>
        <v>10</v>
      </c>
    </row>
    <row r="7" spans="2:3" s="2" customFormat="1" ht="9" customHeight="1">
      <c r="B7" s="111"/>
      <c r="C7" s="112"/>
    </row>
    <row r="8" spans="2:3" s="2" customFormat="1" ht="22.5" customHeight="1">
      <c r="B8" s="76" t="s">
        <v>5</v>
      </c>
      <c r="C8" s="77"/>
    </row>
    <row r="9" spans="2:3" s="2" customFormat="1" ht="22.5" customHeight="1">
      <c r="B9" s="70" t="s">
        <v>6</v>
      </c>
      <c r="C9" s="72">
        <v>0.05</v>
      </c>
    </row>
    <row r="10" spans="2:3" s="2" customFormat="1" ht="22.5" customHeight="1">
      <c r="B10" s="70" t="s">
        <v>7</v>
      </c>
      <c r="C10" s="72">
        <v>1.6500000000000001E-2</v>
      </c>
    </row>
    <row r="11" spans="2:3" s="2" customFormat="1" ht="22.5" customHeight="1">
      <c r="B11" s="70" t="s">
        <v>8</v>
      </c>
      <c r="C11" s="72">
        <v>7.5999999999999998E-2</v>
      </c>
    </row>
    <row r="12" spans="2:3" s="2" customFormat="1" ht="22.5" customHeight="1">
      <c r="B12" s="80" t="s">
        <v>9</v>
      </c>
      <c r="C12" s="81">
        <f>SUM(C9:C11)</f>
        <v>0.14250000000000002</v>
      </c>
    </row>
    <row r="13" spans="2:3" s="2" customFormat="1" ht="9.75" customHeight="1">
      <c r="B13" s="111"/>
      <c r="C13" s="112"/>
    </row>
    <row r="14" spans="2:3" s="2" customFormat="1" ht="22.5" customHeight="1">
      <c r="B14" s="76" t="s">
        <v>10</v>
      </c>
      <c r="C14" s="68"/>
    </row>
    <row r="15" spans="2:3" s="2" customFormat="1" ht="22.5" customHeight="1">
      <c r="B15" s="70" t="s">
        <v>11</v>
      </c>
      <c r="C15" s="72">
        <v>0.09</v>
      </c>
    </row>
    <row r="16" spans="2:3" s="2" customFormat="1" ht="22.5" customHeight="1">
      <c r="B16" s="70" t="s">
        <v>12</v>
      </c>
      <c r="C16" s="72">
        <v>0.08</v>
      </c>
    </row>
    <row r="17" spans="2:3" s="2" customFormat="1" ht="22.5" customHeight="1">
      <c r="B17" s="70" t="s">
        <v>13</v>
      </c>
      <c r="C17" s="72">
        <v>0.01</v>
      </c>
    </row>
    <row r="18" spans="2:3" s="2" customFormat="1" ht="22.5" customHeight="1">
      <c r="B18" s="70" t="s">
        <v>14</v>
      </c>
      <c r="C18" s="136">
        <v>0.32</v>
      </c>
    </row>
    <row r="19" spans="2:3" s="2" customFormat="1" ht="22.5" customHeight="1">
      <c r="B19" s="78" t="s">
        <v>15</v>
      </c>
      <c r="C19" s="82">
        <f>SUM(C15:C18)</f>
        <v>0.5</v>
      </c>
    </row>
    <row r="20" spans="2:3" s="2" customFormat="1" ht="9.75" customHeight="1">
      <c r="B20" s="111"/>
      <c r="C20" s="112"/>
    </row>
    <row r="21" spans="2:3" s="2" customFormat="1" ht="22.5" customHeight="1">
      <c r="B21" s="76" t="s">
        <v>16</v>
      </c>
      <c r="C21" s="68"/>
    </row>
    <row r="22" spans="2:3" s="2" customFormat="1" ht="22.5" customHeight="1">
      <c r="B22" s="70" t="s">
        <v>17</v>
      </c>
      <c r="C22" s="72">
        <v>1</v>
      </c>
    </row>
    <row r="23" spans="2:3" s="2" customFormat="1" ht="22.5" customHeight="1">
      <c r="B23" s="70" t="s">
        <v>18</v>
      </c>
      <c r="C23" s="72">
        <f>-C12</f>
        <v>-0.14250000000000002</v>
      </c>
    </row>
    <row r="24" spans="2:3" s="2" customFormat="1" ht="22.5" customHeight="1">
      <c r="B24" s="70" t="s">
        <v>19</v>
      </c>
      <c r="C24" s="72">
        <f>-C19</f>
        <v>-0.5</v>
      </c>
    </row>
    <row r="25" spans="2:3" s="2" customFormat="1" ht="22.5" customHeight="1">
      <c r="B25" s="144" t="s">
        <v>20</v>
      </c>
      <c r="C25" s="146">
        <f>SUM(C22:C24)</f>
        <v>0.35749999999999993</v>
      </c>
    </row>
    <row r="26" spans="2:3" s="2" customFormat="1" ht="22.5" customHeight="1">
      <c r="B26" s="145"/>
      <c r="C26" s="147"/>
    </row>
    <row r="27" spans="2:3" s="2" customFormat="1" ht="9.75" customHeight="1">
      <c r="B27" s="111"/>
      <c r="C27" s="112"/>
    </row>
    <row r="28" spans="2:3" s="2" customFormat="1" ht="22.5" customHeight="1">
      <c r="B28" s="76" t="s">
        <v>21</v>
      </c>
      <c r="C28" s="68"/>
    </row>
    <row r="29" spans="2:3" s="2" customFormat="1" ht="22.5" customHeight="1">
      <c r="B29" s="70" t="s">
        <v>22</v>
      </c>
      <c r="C29" s="73">
        <f>C6</f>
        <v>10</v>
      </c>
    </row>
    <row r="30" spans="2:3" s="2" customFormat="1" ht="22.5" customHeight="1">
      <c r="B30" s="70" t="s">
        <v>23</v>
      </c>
      <c r="C30" s="72">
        <f>C25</f>
        <v>0.35749999999999993</v>
      </c>
    </row>
    <row r="31" spans="2:3" s="2" customFormat="1" ht="22.5" customHeight="1">
      <c r="B31" s="71" t="s">
        <v>24</v>
      </c>
      <c r="C31" s="74">
        <f>C29/C30</f>
        <v>27.972027972027977</v>
      </c>
    </row>
    <row r="32" spans="2:3" ht="27" customHeight="1">
      <c r="B32" s="1"/>
    </row>
    <row r="33" spans="2:6" ht="27" customHeight="1">
      <c r="B33" s="1"/>
    </row>
    <row r="34" spans="2:6" s="2" customFormat="1" ht="27" customHeight="1">
      <c r="B34" s="116" t="s">
        <v>25</v>
      </c>
      <c r="C34" s="141" t="s">
        <v>26</v>
      </c>
      <c r="D34" s="141" t="s">
        <v>27</v>
      </c>
    </row>
    <row r="35" spans="2:6" s="2" customFormat="1" ht="27" customHeight="1">
      <c r="B35" s="116" t="s">
        <v>28</v>
      </c>
      <c r="C35" s="141"/>
      <c r="D35" s="141"/>
    </row>
    <row r="36" spans="2:6" s="2" customFormat="1" ht="27" customHeight="1">
      <c r="B36" s="70" t="s">
        <v>29</v>
      </c>
      <c r="C36" s="72">
        <v>1</v>
      </c>
      <c r="D36" s="85">
        <f>C31</f>
        <v>27.972027972027977</v>
      </c>
    </row>
    <row r="37" spans="2:6" s="2" customFormat="1" ht="27" customHeight="1">
      <c r="B37" s="70" t="s">
        <v>30</v>
      </c>
      <c r="C37" s="72">
        <f>C12</f>
        <v>0.14250000000000002</v>
      </c>
      <c r="D37" s="85">
        <f>-D36*C37</f>
        <v>-3.9860139860139872</v>
      </c>
    </row>
    <row r="38" spans="2:6" s="2" customFormat="1" ht="27" customHeight="1">
      <c r="B38" s="70" t="s">
        <v>31</v>
      </c>
      <c r="C38" s="66"/>
      <c r="D38" s="85">
        <f>-C6</f>
        <v>-10</v>
      </c>
    </row>
    <row r="39" spans="2:6" s="2" customFormat="1" ht="27" customHeight="1">
      <c r="B39" s="70" t="s">
        <v>32</v>
      </c>
      <c r="C39" s="83">
        <f>C17</f>
        <v>0.01</v>
      </c>
      <c r="D39" s="85">
        <f>-$D$36*C39</f>
        <v>-0.2797202797202798</v>
      </c>
    </row>
    <row r="40" spans="2:6" s="2" customFormat="1" ht="27" customHeight="1">
      <c r="B40" s="78" t="s">
        <v>33</v>
      </c>
      <c r="C40" s="87"/>
      <c r="D40" s="86">
        <f>SUM(D36:D39)</f>
        <v>13.70629370629371</v>
      </c>
    </row>
    <row r="41" spans="2:6" s="2" customFormat="1" ht="27" customHeight="1">
      <c r="B41" s="70" t="s">
        <v>34</v>
      </c>
      <c r="C41" s="83">
        <f>C15</f>
        <v>0.09</v>
      </c>
      <c r="D41" s="85">
        <f>-$D$36*C41</f>
        <v>-2.5174825174825179</v>
      </c>
    </row>
    <row r="42" spans="2:6" s="2" customFormat="1" ht="27" customHeight="1">
      <c r="B42" s="70" t="s">
        <v>35</v>
      </c>
      <c r="C42" s="83">
        <f>C16</f>
        <v>0.08</v>
      </c>
      <c r="D42" s="85">
        <f>-$D$36*C42</f>
        <v>-2.2377622377622384</v>
      </c>
    </row>
    <row r="43" spans="2:6" s="2" customFormat="1" ht="27" customHeight="1">
      <c r="B43" s="78" t="s">
        <v>36</v>
      </c>
      <c r="C43" s="84">
        <f>C18</f>
        <v>0.32</v>
      </c>
      <c r="D43" s="86">
        <f>SUM(D40:D42)</f>
        <v>8.9510489510489535</v>
      </c>
      <c r="E43" s="88">
        <f>D36*C43-D43</f>
        <v>0</v>
      </c>
      <c r="F43" s="124">
        <f>D43/D36</f>
        <v>0.32</v>
      </c>
    </row>
    <row r="46" spans="2:6" ht="15.75" customHeight="1">
      <c r="B46" s="137" t="s">
        <v>37</v>
      </c>
      <c r="C46" s="138"/>
      <c r="D46" s="141" t="s">
        <v>27</v>
      </c>
    </row>
    <row r="47" spans="2:6" ht="15.75" customHeight="1">
      <c r="B47" s="139"/>
      <c r="C47" s="140"/>
      <c r="D47" s="141"/>
    </row>
    <row r="48" spans="2:6" ht="26.25" customHeight="1">
      <c r="B48" s="70" t="s">
        <v>38</v>
      </c>
      <c r="C48" s="89">
        <f>D48/D36</f>
        <v>643499.99999999988</v>
      </c>
      <c r="D48" s="85">
        <f>'Lucro Presumido'!C8+'Lucro Presumido'!E8+'Lucro Presumido'!G8+'Lucro Presumido'!I8</f>
        <v>18000000</v>
      </c>
    </row>
    <row r="49" spans="2:6" ht="26.25" customHeight="1">
      <c r="B49" s="70" t="s">
        <v>30</v>
      </c>
      <c r="C49" s="72">
        <f>C37</f>
        <v>0.14250000000000002</v>
      </c>
      <c r="D49" s="85">
        <f>-D48*C49</f>
        <v>-2565000.0000000005</v>
      </c>
    </row>
    <row r="50" spans="2:6" ht="26.25" customHeight="1">
      <c r="B50" s="70" t="s">
        <v>31</v>
      </c>
      <c r="C50" s="66"/>
      <c r="D50" s="85">
        <f>D38*C48</f>
        <v>-6434999.9999999991</v>
      </c>
    </row>
    <row r="51" spans="2:6" ht="26.25" customHeight="1">
      <c r="B51" s="70" t="s">
        <v>32</v>
      </c>
      <c r="C51" s="83">
        <v>0.01</v>
      </c>
      <c r="D51" s="85">
        <f>-D48*C51</f>
        <v>-180000</v>
      </c>
    </row>
    <row r="52" spans="2:6" ht="26.25" customHeight="1">
      <c r="B52" s="78" t="s">
        <v>33</v>
      </c>
      <c r="C52" s="87"/>
      <c r="D52" s="86">
        <f>SUM(D48:D51)</f>
        <v>8820000</v>
      </c>
    </row>
    <row r="53" spans="2:6" ht="26.25" customHeight="1">
      <c r="B53" s="70" t="s">
        <v>34</v>
      </c>
      <c r="C53" s="83">
        <f>C15</f>
        <v>0.09</v>
      </c>
      <c r="D53" s="85">
        <f>-D48*C53</f>
        <v>-1620000</v>
      </c>
    </row>
    <row r="54" spans="2:6" ht="26.25" customHeight="1">
      <c r="B54" s="70" t="s">
        <v>35</v>
      </c>
      <c r="C54" s="83">
        <v>0.08</v>
      </c>
      <c r="D54" s="85">
        <f>-D48*C54</f>
        <v>-1440000</v>
      </c>
    </row>
    <row r="55" spans="2:6" ht="26.25" customHeight="1">
      <c r="B55" s="78" t="s">
        <v>36</v>
      </c>
      <c r="C55" s="84">
        <f>C18</f>
        <v>0.32</v>
      </c>
      <c r="D55" s="86">
        <f>SUM(D52:D54)</f>
        <v>5760000</v>
      </c>
      <c r="E55" s="88">
        <f>D48*C55-D55</f>
        <v>0</v>
      </c>
      <c r="F55" s="125">
        <f>D55/D48</f>
        <v>0.32</v>
      </c>
    </row>
  </sheetData>
  <mergeCells count="7">
    <mergeCell ref="C25:C26"/>
    <mergeCell ref="B25:B26"/>
    <mergeCell ref="B2:C2"/>
    <mergeCell ref="D46:D47"/>
    <mergeCell ref="B46:C47"/>
    <mergeCell ref="C34:C35"/>
    <mergeCell ref="D34:D35"/>
  </mergeCells>
  <printOptions horizontalCentered="1" verticalCentered="1"/>
  <pageMargins left="0.15748031496062992" right="0.11811023622047245" top="0.42" bottom="0.59" header="0.31496062992125984" footer="0.31496062992125984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9"/>
  <sheetViews>
    <sheetView showGridLines="0" workbookViewId="0">
      <selection activeCell="G11" sqref="G11"/>
    </sheetView>
  </sheetViews>
  <sheetFormatPr defaultRowHeight="14.45"/>
  <cols>
    <col min="1" max="1" width="4.140625" customWidth="1"/>
    <col min="2" max="2" width="18.5703125" customWidth="1"/>
    <col min="3" max="3" width="16.42578125" customWidth="1"/>
    <col min="4" max="4" width="18" customWidth="1"/>
    <col min="5" max="5" width="16.140625" customWidth="1"/>
    <col min="6" max="6" width="15.5703125" customWidth="1"/>
    <col min="7" max="7" width="16.85546875" customWidth="1"/>
    <col min="8" max="8" width="16.140625" customWidth="1"/>
    <col min="9" max="9" width="19" customWidth="1"/>
  </cols>
  <sheetData>
    <row r="1" spans="2:9" ht="15" thickBot="1"/>
    <row r="2" spans="2:9" ht="19.149999999999999">
      <c r="B2" s="148" t="s">
        <v>39</v>
      </c>
      <c r="C2" s="149"/>
      <c r="D2" s="149"/>
      <c r="E2" s="149"/>
      <c r="F2" s="149"/>
      <c r="G2" s="149"/>
      <c r="H2" s="149"/>
      <c r="I2" s="150"/>
    </row>
    <row r="3" spans="2:9" ht="16.149999999999999" thickBot="1">
      <c r="B3" s="17"/>
      <c r="C3" s="18"/>
      <c r="D3" s="18"/>
      <c r="E3" s="18"/>
      <c r="F3" s="19"/>
      <c r="G3" s="19"/>
      <c r="H3" s="19"/>
      <c r="I3" s="20"/>
    </row>
    <row r="4" spans="2:9" ht="16.149999999999999" thickBot="1">
      <c r="B4" s="57" t="s">
        <v>40</v>
      </c>
      <c r="C4" s="58" t="s">
        <v>41</v>
      </c>
      <c r="D4" s="59" t="s">
        <v>42</v>
      </c>
      <c r="E4" s="58" t="s">
        <v>41</v>
      </c>
      <c r="F4" s="59" t="s">
        <v>43</v>
      </c>
      <c r="G4" s="58" t="s">
        <v>41</v>
      </c>
      <c r="H4" s="59" t="s">
        <v>44</v>
      </c>
      <c r="I4" s="60" t="s">
        <v>41</v>
      </c>
    </row>
    <row r="5" spans="2:9" ht="15.6">
      <c r="B5" s="17" t="s">
        <v>45</v>
      </c>
      <c r="C5" s="18">
        <v>1500000</v>
      </c>
      <c r="D5" s="21" t="s">
        <v>46</v>
      </c>
      <c r="E5" s="18">
        <v>1500000</v>
      </c>
      <c r="F5" s="22" t="s">
        <v>47</v>
      </c>
      <c r="G5" s="18">
        <v>1500000</v>
      </c>
      <c r="H5" s="22" t="s">
        <v>48</v>
      </c>
      <c r="I5" s="23">
        <v>1500000</v>
      </c>
    </row>
    <row r="6" spans="2:9" ht="15.6">
      <c r="B6" s="17" t="s">
        <v>49</v>
      </c>
      <c r="C6" s="18">
        <v>1500000</v>
      </c>
      <c r="D6" s="21" t="s">
        <v>50</v>
      </c>
      <c r="E6" s="18">
        <v>1500000</v>
      </c>
      <c r="F6" s="22" t="s">
        <v>51</v>
      </c>
      <c r="G6" s="18">
        <v>1500000</v>
      </c>
      <c r="H6" s="22" t="s">
        <v>52</v>
      </c>
      <c r="I6" s="23">
        <v>1500000</v>
      </c>
    </row>
    <row r="7" spans="2:9" ht="15.6">
      <c r="B7" s="17" t="s">
        <v>53</v>
      </c>
      <c r="C7" s="18">
        <v>1500000</v>
      </c>
      <c r="D7" s="21" t="s">
        <v>54</v>
      </c>
      <c r="E7" s="18">
        <v>1500000</v>
      </c>
      <c r="F7" s="22" t="s">
        <v>55</v>
      </c>
      <c r="G7" s="18">
        <v>1500000</v>
      </c>
      <c r="H7" s="22" t="s">
        <v>56</v>
      </c>
      <c r="I7" s="23">
        <v>1500000</v>
      </c>
    </row>
    <row r="8" spans="2:9" ht="16.149999999999999" thickBot="1">
      <c r="B8" s="24" t="s">
        <v>57</v>
      </c>
      <c r="C8" s="25">
        <f>SUM(C5:C7)</f>
        <v>4500000</v>
      </c>
      <c r="D8" s="26" t="s">
        <v>57</v>
      </c>
      <c r="E8" s="25">
        <f>SUM(E5:E7)</f>
        <v>4500000</v>
      </c>
      <c r="F8" s="26" t="s">
        <v>57</v>
      </c>
      <c r="G8" s="27">
        <f>SUM(G5:G7)</f>
        <v>4500000</v>
      </c>
      <c r="H8" s="26" t="s">
        <v>57</v>
      </c>
      <c r="I8" s="28">
        <f>SUM(I5:I7)</f>
        <v>4500000</v>
      </c>
    </row>
    <row r="9" spans="2:9" ht="16.149999999999999" thickTop="1">
      <c r="B9" s="17" t="s">
        <v>58</v>
      </c>
      <c r="C9" s="122">
        <v>0.32</v>
      </c>
      <c r="D9" s="17" t="s">
        <v>58</v>
      </c>
      <c r="E9" s="122">
        <f>C9</f>
        <v>0.32</v>
      </c>
      <c r="F9" s="17" t="s">
        <v>58</v>
      </c>
      <c r="G9" s="122">
        <f>E9</f>
        <v>0.32</v>
      </c>
      <c r="H9" s="17" t="s">
        <v>58</v>
      </c>
      <c r="I9" s="123">
        <f>G9</f>
        <v>0.32</v>
      </c>
    </row>
    <row r="10" spans="2:9" ht="15.6">
      <c r="B10" s="31" t="s">
        <v>59</v>
      </c>
      <c r="C10" s="32">
        <f>C8*C9</f>
        <v>1440000</v>
      </c>
      <c r="D10" s="31" t="s">
        <v>59</v>
      </c>
      <c r="E10" s="33">
        <f>E8*E9</f>
        <v>1440000</v>
      </c>
      <c r="F10" s="31" t="s">
        <v>59</v>
      </c>
      <c r="G10" s="34">
        <f>G8*G9</f>
        <v>1440000</v>
      </c>
      <c r="H10" s="31" t="s">
        <v>59</v>
      </c>
      <c r="I10" s="35">
        <f>I8*I9</f>
        <v>1440000</v>
      </c>
    </row>
    <row r="11" spans="2:9" ht="15.6">
      <c r="B11" s="36" t="s">
        <v>60</v>
      </c>
      <c r="C11" s="37">
        <f>C10*15%</f>
        <v>216000</v>
      </c>
      <c r="D11" s="38" t="s">
        <v>60</v>
      </c>
      <c r="E11" s="37">
        <f>E10*15%</f>
        <v>216000</v>
      </c>
      <c r="F11" s="21" t="s">
        <v>60</v>
      </c>
      <c r="G11" s="39">
        <f>G10*15%</f>
        <v>216000</v>
      </c>
      <c r="H11" s="38" t="s">
        <v>60</v>
      </c>
      <c r="I11" s="40">
        <f>I10*15%</f>
        <v>216000</v>
      </c>
    </row>
    <row r="12" spans="2:9" ht="15.6">
      <c r="B12" s="8" t="s">
        <v>61</v>
      </c>
      <c r="C12" s="39">
        <f>(C10-60000)*10%</f>
        <v>138000</v>
      </c>
      <c r="D12" s="3" t="s">
        <v>61</v>
      </c>
      <c r="E12" s="39">
        <f>(E10-60000)*10%</f>
        <v>138000</v>
      </c>
      <c r="F12" s="3" t="s">
        <v>61</v>
      </c>
      <c r="G12" s="39">
        <f>(G10-60000)*10%</f>
        <v>138000</v>
      </c>
      <c r="H12" s="3" t="s">
        <v>61</v>
      </c>
      <c r="I12" s="23">
        <f>(I10-60000)*10%</f>
        <v>138000</v>
      </c>
    </row>
    <row r="13" spans="2:9" ht="15.6">
      <c r="B13" s="41" t="s">
        <v>62</v>
      </c>
      <c r="C13" s="42">
        <f>SUM(C11:C12)</f>
        <v>354000</v>
      </c>
      <c r="D13" s="43" t="s">
        <v>62</v>
      </c>
      <c r="E13" s="42">
        <f>SUM(E11:E12)</f>
        <v>354000</v>
      </c>
      <c r="F13" s="43" t="s">
        <v>62</v>
      </c>
      <c r="G13" s="42">
        <f>SUM(G11:G12)</f>
        <v>354000</v>
      </c>
      <c r="H13" s="43" t="s">
        <v>62</v>
      </c>
      <c r="I13" s="44">
        <f>SUM(I11:I12)</f>
        <v>354000</v>
      </c>
    </row>
    <row r="14" spans="2:9" ht="15.6">
      <c r="B14" s="118"/>
      <c r="C14" s="119"/>
      <c r="D14" s="120"/>
      <c r="E14" s="119"/>
      <c r="F14" s="120"/>
      <c r="G14" s="119"/>
      <c r="H14" s="120"/>
      <c r="I14" s="121"/>
    </row>
    <row r="15" spans="2:9" ht="15.6">
      <c r="B15" s="17" t="s">
        <v>63</v>
      </c>
      <c r="C15" s="29">
        <v>0.32</v>
      </c>
      <c r="D15" s="17" t="s">
        <v>63</v>
      </c>
      <c r="E15" s="29">
        <f>C15</f>
        <v>0.32</v>
      </c>
      <c r="F15" s="17" t="s">
        <v>63</v>
      </c>
      <c r="G15" s="29">
        <f>E15</f>
        <v>0.32</v>
      </c>
      <c r="H15" s="17" t="s">
        <v>63</v>
      </c>
      <c r="I15" s="30">
        <f>G15</f>
        <v>0.32</v>
      </c>
    </row>
    <row r="16" spans="2:9" ht="15.6">
      <c r="B16" s="31" t="s">
        <v>59</v>
      </c>
      <c r="C16" s="32">
        <f>C8*C15</f>
        <v>1440000</v>
      </c>
      <c r="D16" s="31" t="s">
        <v>59</v>
      </c>
      <c r="E16" s="32">
        <f>E8*E15</f>
        <v>1440000</v>
      </c>
      <c r="F16" s="31" t="s">
        <v>59</v>
      </c>
      <c r="G16" s="32">
        <f>G8*G15</f>
        <v>1440000</v>
      </c>
      <c r="H16" s="31" t="s">
        <v>59</v>
      </c>
      <c r="I16" s="117">
        <f>I8*I15</f>
        <v>1440000</v>
      </c>
    </row>
    <row r="17" spans="2:9" ht="15.6">
      <c r="B17" s="49" t="s">
        <v>64</v>
      </c>
      <c r="C17" s="50">
        <f>C16*9%</f>
        <v>129600</v>
      </c>
      <c r="D17" s="51" t="s">
        <v>64</v>
      </c>
      <c r="E17" s="50">
        <f>E16*9%</f>
        <v>129600</v>
      </c>
      <c r="F17" s="51" t="s">
        <v>64</v>
      </c>
      <c r="G17" s="50">
        <f>G16*9%</f>
        <v>129600</v>
      </c>
      <c r="H17" s="51" t="s">
        <v>64</v>
      </c>
      <c r="I17" s="52">
        <f>I16*9%</f>
        <v>129600</v>
      </c>
    </row>
    <row r="18" spans="2:9" ht="15.6">
      <c r="B18" s="45"/>
      <c r="C18" s="46"/>
      <c r="D18" s="47"/>
      <c r="E18" s="46"/>
      <c r="F18" s="47"/>
      <c r="G18" s="46"/>
      <c r="H18" s="47"/>
      <c r="I18" s="48"/>
    </row>
    <row r="19" spans="2:9" ht="15.6">
      <c r="B19" s="53" t="s">
        <v>65</v>
      </c>
      <c r="C19" s="54">
        <f>C8*0.65%</f>
        <v>29250.000000000004</v>
      </c>
      <c r="D19" s="55" t="s">
        <v>65</v>
      </c>
      <c r="E19" s="54">
        <f>E8*0.65%</f>
        <v>29250.000000000004</v>
      </c>
      <c r="F19" s="55" t="s">
        <v>65</v>
      </c>
      <c r="G19" s="54">
        <f>G8*0.65%</f>
        <v>29250.000000000004</v>
      </c>
      <c r="H19" s="55" t="s">
        <v>65</v>
      </c>
      <c r="I19" s="56">
        <f>I8*0.65%</f>
        <v>29250.000000000004</v>
      </c>
    </row>
    <row r="20" spans="2:9" ht="15.6">
      <c r="B20" s="45"/>
      <c r="C20" s="46"/>
      <c r="D20" s="47"/>
      <c r="E20" s="46"/>
      <c r="F20" s="47"/>
      <c r="G20" s="46"/>
      <c r="H20" s="47"/>
      <c r="I20" s="48"/>
    </row>
    <row r="21" spans="2:9" ht="16.149999999999999" thickBot="1">
      <c r="B21" s="61" t="s">
        <v>66</v>
      </c>
      <c r="C21" s="62">
        <f>C8*3%</f>
        <v>135000</v>
      </c>
      <c r="D21" s="63" t="s">
        <v>66</v>
      </c>
      <c r="E21" s="62">
        <f>E8*3%</f>
        <v>135000</v>
      </c>
      <c r="F21" s="63" t="s">
        <v>66</v>
      </c>
      <c r="G21" s="62">
        <f>G8*3%</f>
        <v>135000</v>
      </c>
      <c r="H21" s="63" t="s">
        <v>66</v>
      </c>
      <c r="I21" s="64">
        <f>I8*3%</f>
        <v>135000</v>
      </c>
    </row>
    <row r="22" spans="2:9" ht="26.25" customHeight="1" thickBot="1">
      <c r="C22" s="4"/>
      <c r="D22" s="4"/>
      <c r="E22" s="4"/>
    </row>
    <row r="23" spans="2:9" ht="16.149999999999999" thickBot="1">
      <c r="B23" s="151" t="s">
        <v>67</v>
      </c>
      <c r="C23" s="152"/>
      <c r="D23" s="153"/>
      <c r="E23" s="16" t="s">
        <v>68</v>
      </c>
      <c r="F23" s="6"/>
    </row>
    <row r="24" spans="2:9" ht="16.149999999999999" thickBot="1">
      <c r="B24" s="9" t="s">
        <v>69</v>
      </c>
      <c r="C24" s="10"/>
      <c r="D24" s="10"/>
      <c r="E24" s="11">
        <f>C13+E13+G13+I13</f>
        <v>1416000</v>
      </c>
    </row>
    <row r="25" spans="2:9" ht="16.899999999999999" thickTop="1" thickBot="1">
      <c r="B25" s="9" t="s">
        <v>70</v>
      </c>
      <c r="C25" s="10"/>
      <c r="D25" s="10"/>
      <c r="E25" s="12">
        <f>C17+E17+G17+I17</f>
        <v>518400</v>
      </c>
    </row>
    <row r="26" spans="2:9" ht="16.899999999999999" thickTop="1" thickBot="1">
      <c r="B26" s="9" t="s">
        <v>71</v>
      </c>
      <c r="C26" s="10"/>
      <c r="D26" s="10"/>
      <c r="E26" s="12">
        <f>C19+E19+G19+I19</f>
        <v>117000.00000000001</v>
      </c>
    </row>
    <row r="27" spans="2:9" ht="16.899999999999999" thickTop="1" thickBot="1">
      <c r="B27" s="9" t="s">
        <v>72</v>
      </c>
      <c r="C27" s="10"/>
      <c r="D27" s="10"/>
      <c r="E27" s="12">
        <f>C21+E21+G21+I21</f>
        <v>540000</v>
      </c>
    </row>
    <row r="28" spans="2:9" ht="16.899999999999999" thickTop="1" thickBot="1">
      <c r="B28" s="9" t="s">
        <v>68</v>
      </c>
      <c r="C28" s="10"/>
      <c r="D28" s="10"/>
      <c r="E28" s="12">
        <f>SUM(E24:E27)</f>
        <v>2591400</v>
      </c>
      <c r="F28" s="7"/>
    </row>
    <row r="29" spans="2:9" ht="16.899999999999999" thickTop="1" thickBot="1">
      <c r="B29" s="13" t="s">
        <v>73</v>
      </c>
      <c r="C29" s="14"/>
      <c r="D29" s="14"/>
      <c r="E29" s="15">
        <f>E28/(C8+E8+G8+I8)</f>
        <v>0.14396666666666666</v>
      </c>
      <c r="F29" s="5"/>
      <c r="H29" s="5"/>
    </row>
  </sheetData>
  <mergeCells count="2">
    <mergeCell ref="B2:I2"/>
    <mergeCell ref="B23:D23"/>
  </mergeCells>
  <pageMargins left="0.11811023622047245" right="0.59055118110236227" top="0.78740157480314965" bottom="0.78740157480314965" header="0.31496062992125984" footer="0.31496062992125984"/>
  <pageSetup paperSize="0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9"/>
  <sheetViews>
    <sheetView showGridLines="0" workbookViewId="0">
      <selection activeCell="E45" sqref="E45"/>
    </sheetView>
  </sheetViews>
  <sheetFormatPr defaultRowHeight="14.45"/>
  <cols>
    <col min="1" max="1" width="2.5703125" customWidth="1"/>
    <col min="2" max="2" width="63.42578125" bestFit="1" customWidth="1"/>
    <col min="3" max="3" width="19.28515625" style="65" customWidth="1"/>
    <col min="4" max="4" width="18.85546875" customWidth="1"/>
    <col min="5" max="5" width="16.140625" bestFit="1" customWidth="1"/>
  </cols>
  <sheetData>
    <row r="1" spans="2:3" ht="15" thickBot="1"/>
    <row r="2" spans="2:3" ht="57" customHeight="1">
      <c r="B2" s="154" t="s">
        <v>74</v>
      </c>
      <c r="C2" s="155"/>
    </row>
    <row r="3" spans="2:3" ht="19.5" customHeight="1">
      <c r="B3" s="95" t="s">
        <v>75</v>
      </c>
      <c r="C3" s="96">
        <f>'Mark up Regime Não Cumulativo'!D55</f>
        <v>5760000</v>
      </c>
    </row>
    <row r="4" spans="2:3" ht="19.5" customHeight="1">
      <c r="B4" s="95" t="s">
        <v>76</v>
      </c>
      <c r="C4" s="97"/>
    </row>
    <row r="5" spans="2:3" ht="19.5" customHeight="1">
      <c r="B5" s="95" t="s">
        <v>77</v>
      </c>
      <c r="C5" s="96">
        <v>0</v>
      </c>
    </row>
    <row r="6" spans="2:3" ht="19.5" customHeight="1">
      <c r="B6" s="95" t="s">
        <v>78</v>
      </c>
      <c r="C6" s="96">
        <v>0</v>
      </c>
    </row>
    <row r="7" spans="2:3" ht="19.5" customHeight="1">
      <c r="B7" s="95" t="s">
        <v>79</v>
      </c>
      <c r="C7" s="97"/>
    </row>
    <row r="8" spans="2:3" ht="19.5" customHeight="1">
      <c r="B8" s="95" t="s">
        <v>77</v>
      </c>
      <c r="C8" s="96" t="s">
        <v>77</v>
      </c>
    </row>
    <row r="9" spans="2:3" ht="19.5" customHeight="1">
      <c r="B9" s="95" t="s">
        <v>80</v>
      </c>
      <c r="C9" s="96">
        <v>0</v>
      </c>
    </row>
    <row r="10" spans="2:3" ht="19.5" customHeight="1">
      <c r="B10" s="95" t="s">
        <v>81</v>
      </c>
      <c r="C10" s="96">
        <f>C3</f>
        <v>5760000</v>
      </c>
    </row>
    <row r="11" spans="2:3" ht="19.5" customHeight="1">
      <c r="B11" s="95" t="s">
        <v>82</v>
      </c>
      <c r="C11" s="96">
        <v>0</v>
      </c>
    </row>
    <row r="12" spans="2:3" ht="19.5" customHeight="1">
      <c r="B12" s="95" t="s">
        <v>83</v>
      </c>
      <c r="C12" s="96">
        <f>C10-C11</f>
        <v>5760000</v>
      </c>
    </row>
    <row r="13" spans="2:3" ht="15.6" thickBot="1">
      <c r="B13" s="98" t="s">
        <v>84</v>
      </c>
      <c r="C13" s="99">
        <f>C12*9%</f>
        <v>518400</v>
      </c>
    </row>
    <row r="15" spans="2:3" ht="19.5" customHeight="1" thickBot="1"/>
    <row r="16" spans="2:3" ht="18.75" customHeight="1">
      <c r="B16" s="154" t="s">
        <v>85</v>
      </c>
      <c r="C16" s="155"/>
    </row>
    <row r="17" spans="2:3" ht="18.75" customHeight="1" thickBot="1">
      <c r="B17" s="156" t="s">
        <v>86</v>
      </c>
      <c r="C17" s="157"/>
    </row>
    <row r="18" spans="2:3" ht="18.75" customHeight="1" thickBot="1">
      <c r="B18" s="90" t="s">
        <v>87</v>
      </c>
      <c r="C18" s="92">
        <f>C3-C13</f>
        <v>5241600</v>
      </c>
    </row>
    <row r="19" spans="2:3" ht="18.75" customHeight="1" thickBot="1">
      <c r="B19" s="90" t="s">
        <v>76</v>
      </c>
      <c r="C19" s="93"/>
    </row>
    <row r="20" spans="2:3" ht="18.75" customHeight="1" thickBot="1">
      <c r="B20" s="90" t="s">
        <v>88</v>
      </c>
      <c r="C20" s="92">
        <f>C13</f>
        <v>518400</v>
      </c>
    </row>
    <row r="21" spans="2:3" ht="18.75" customHeight="1" thickBot="1">
      <c r="B21" s="90" t="s">
        <v>78</v>
      </c>
      <c r="C21" s="92">
        <f>C20</f>
        <v>518400</v>
      </c>
    </row>
    <row r="22" spans="2:3" ht="18.75" customHeight="1" thickBot="1">
      <c r="B22" s="90" t="s">
        <v>79</v>
      </c>
      <c r="C22" s="93"/>
    </row>
    <row r="23" spans="2:3" ht="18.75" customHeight="1" thickBot="1">
      <c r="B23" s="90" t="s">
        <v>77</v>
      </c>
      <c r="C23" s="92">
        <v>0</v>
      </c>
    </row>
    <row r="24" spans="2:3" ht="18.75" customHeight="1" thickBot="1">
      <c r="B24" s="90" t="s">
        <v>80</v>
      </c>
      <c r="C24" s="92">
        <v>0</v>
      </c>
    </row>
    <row r="25" spans="2:3" ht="18.75" customHeight="1" thickBot="1">
      <c r="B25" s="90" t="s">
        <v>89</v>
      </c>
      <c r="C25" s="92">
        <f>C18+C21</f>
        <v>5760000</v>
      </c>
    </row>
    <row r="26" spans="2:3" ht="18.75" customHeight="1" thickBot="1">
      <c r="B26" s="90" t="s">
        <v>90</v>
      </c>
      <c r="C26" s="92">
        <v>0</v>
      </c>
    </row>
    <row r="27" spans="2:3" ht="18.75" customHeight="1" thickBot="1">
      <c r="B27" s="91" t="s">
        <v>91</v>
      </c>
      <c r="C27" s="94">
        <f>C25-C26</f>
        <v>5760000</v>
      </c>
    </row>
    <row r="28" spans="2:3" ht="18.75" customHeight="1" thickBot="1">
      <c r="B28" s="91" t="s">
        <v>92</v>
      </c>
      <c r="C28" s="94">
        <f>C27*15%</f>
        <v>864000</v>
      </c>
    </row>
    <row r="29" spans="2:3" ht="18.75" customHeight="1" thickBot="1">
      <c r="B29" s="91" t="s">
        <v>93</v>
      </c>
      <c r="C29" s="94">
        <f>(C27-240000)*10%</f>
        <v>552000</v>
      </c>
    </row>
    <row r="30" spans="2:3" ht="18.75" customHeight="1" thickBot="1">
      <c r="B30" s="91" t="s">
        <v>94</v>
      </c>
      <c r="C30" s="94">
        <f>C28+C29</f>
        <v>1416000</v>
      </c>
    </row>
    <row r="32" spans="2:3" ht="15" thickBot="1"/>
    <row r="33" spans="2:5" ht="16.149999999999999" thickBot="1">
      <c r="B33" s="100" t="s">
        <v>67</v>
      </c>
      <c r="C33" s="105" t="s">
        <v>68</v>
      </c>
      <c r="D33" s="128" t="s">
        <v>95</v>
      </c>
      <c r="E33" s="129" t="s">
        <v>96</v>
      </c>
    </row>
    <row r="34" spans="2:5" ht="16.149999999999999" thickBot="1">
      <c r="B34" s="9" t="s">
        <v>69</v>
      </c>
      <c r="C34" s="101">
        <f>C30</f>
        <v>1416000</v>
      </c>
      <c r="D34" s="101"/>
      <c r="E34" s="11"/>
    </row>
    <row r="35" spans="2:5" ht="16.899999999999999" thickTop="1" thickBot="1">
      <c r="B35" s="9" t="s">
        <v>70</v>
      </c>
      <c r="C35" s="102">
        <f>C13</f>
        <v>518400</v>
      </c>
      <c r="D35" s="102"/>
      <c r="E35" s="12"/>
    </row>
    <row r="36" spans="2:5" ht="16.899999999999999" thickTop="1" thickBot="1">
      <c r="B36" s="9" t="s">
        <v>97</v>
      </c>
      <c r="C36" s="102">
        <f>D36-E36</f>
        <v>177000</v>
      </c>
      <c r="D36" s="102">
        <f>'Mark up Regime Não Cumulativo'!D48*1.65%</f>
        <v>297000</v>
      </c>
      <c r="E36" s="12">
        <v>120000</v>
      </c>
    </row>
    <row r="37" spans="2:5" ht="16.899999999999999" thickTop="1" thickBot="1">
      <c r="B37" s="9" t="s">
        <v>98</v>
      </c>
      <c r="C37" s="102">
        <f>D37-E37</f>
        <v>818000</v>
      </c>
      <c r="D37" s="102">
        <f>'Mark up Regime Não Cumulativo'!D48*7.6%</f>
        <v>1368000</v>
      </c>
      <c r="E37" s="12">
        <v>550000</v>
      </c>
    </row>
    <row r="38" spans="2:5" ht="16.899999999999999" thickTop="1" thickBot="1">
      <c r="B38" s="9" t="s">
        <v>68</v>
      </c>
      <c r="C38" s="102">
        <f>SUM(C34:C37)</f>
        <v>2929400</v>
      </c>
      <c r="D38" s="102"/>
      <c r="E38" s="12"/>
    </row>
    <row r="39" spans="2:5" ht="16.899999999999999" thickTop="1" thickBot="1">
      <c r="B39" s="13" t="s">
        <v>73</v>
      </c>
      <c r="C39" s="106">
        <f>C38/'Mark up Regime Não Cumulativo'!D48</f>
        <v>0.16274444444444444</v>
      </c>
      <c r="D39" s="103"/>
      <c r="E39" s="104"/>
    </row>
  </sheetData>
  <mergeCells count="3">
    <mergeCell ref="B2:C2"/>
    <mergeCell ref="B16:C16"/>
    <mergeCell ref="B17:C17"/>
  </mergeCells>
  <pageMargins left="0.13" right="0.15" top="0.12" bottom="0.59" header="0.11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E10"/>
  <sheetViews>
    <sheetView showGridLines="0" topLeftCell="A8" workbookViewId="0">
      <selection activeCell="A34" sqref="A34"/>
    </sheetView>
  </sheetViews>
  <sheetFormatPr defaultRowHeight="14.45"/>
  <cols>
    <col min="1" max="1" width="2.85546875" customWidth="1"/>
    <col min="2" max="2" width="35.7109375" customWidth="1"/>
    <col min="3" max="3" width="25.42578125" customWidth="1"/>
    <col min="4" max="4" width="28" customWidth="1"/>
    <col min="5" max="5" width="26.28515625" customWidth="1"/>
  </cols>
  <sheetData>
    <row r="1" spans="2:5" ht="16.5" customHeight="1"/>
    <row r="2" spans="2:5" ht="33" customHeight="1">
      <c r="B2" s="113" t="s">
        <v>99</v>
      </c>
      <c r="C2" s="114" t="s">
        <v>100</v>
      </c>
      <c r="D2" s="114" t="s">
        <v>101</v>
      </c>
      <c r="E2" s="114" t="s">
        <v>102</v>
      </c>
    </row>
    <row r="3" spans="2:5" ht="33" customHeight="1">
      <c r="B3" s="107" t="str">
        <f>'Lucro Presumido'!B24</f>
        <v>IRPJ</v>
      </c>
      <c r="C3" s="109">
        <f>'Lucro Presumido'!E24</f>
        <v>1416000</v>
      </c>
      <c r="D3" s="109">
        <f>'Lucro Real'!C34</f>
        <v>1416000</v>
      </c>
      <c r="E3" s="115">
        <f t="shared" ref="E3:E9" si="0">C3-D3</f>
        <v>0</v>
      </c>
    </row>
    <row r="4" spans="2:5" ht="33" customHeight="1">
      <c r="B4" s="107" t="str">
        <f>'Lucro Presumido'!B25</f>
        <v>CSLL</v>
      </c>
      <c r="C4" s="109">
        <f>'Lucro Presumido'!E25</f>
        <v>518400</v>
      </c>
      <c r="D4" s="109">
        <f>'Lucro Real'!C35</f>
        <v>518400</v>
      </c>
      <c r="E4" s="115">
        <f t="shared" si="0"/>
        <v>0</v>
      </c>
    </row>
    <row r="5" spans="2:5" ht="33" customHeight="1">
      <c r="B5" s="130" t="s">
        <v>103</v>
      </c>
      <c r="C5" s="131">
        <f>SUM(C3:C4)</f>
        <v>1934400</v>
      </c>
      <c r="D5" s="131">
        <f>SUM(D3:D4)</f>
        <v>1934400</v>
      </c>
      <c r="E5" s="132">
        <f t="shared" si="0"/>
        <v>0</v>
      </c>
    </row>
    <row r="6" spans="2:5" ht="33" customHeight="1">
      <c r="B6" s="107" t="s">
        <v>7</v>
      </c>
      <c r="C6" s="109">
        <f>'Lucro Presumido'!E26</f>
        <v>117000.00000000001</v>
      </c>
      <c r="D6" s="109">
        <f>'Lucro Real'!C36</f>
        <v>177000</v>
      </c>
      <c r="E6" s="115">
        <f t="shared" si="0"/>
        <v>-59999.999999999985</v>
      </c>
    </row>
    <row r="7" spans="2:5" ht="33" customHeight="1">
      <c r="B7" s="107" t="s">
        <v>8</v>
      </c>
      <c r="C7" s="109">
        <f>'Lucro Presumido'!E27</f>
        <v>540000</v>
      </c>
      <c r="D7" s="109">
        <f>'Lucro Real'!C37</f>
        <v>818000</v>
      </c>
      <c r="E7" s="115">
        <f t="shared" si="0"/>
        <v>-278000</v>
      </c>
    </row>
    <row r="8" spans="2:5" ht="33" customHeight="1">
      <c r="B8" s="130" t="s">
        <v>104</v>
      </c>
      <c r="C8" s="131">
        <f>SUM(C6:C7)</f>
        <v>657000</v>
      </c>
      <c r="D8" s="131">
        <f t="shared" ref="D8" si="1">SUM(D6:D7)</f>
        <v>995000</v>
      </c>
      <c r="E8" s="132">
        <f t="shared" si="0"/>
        <v>-338000</v>
      </c>
    </row>
    <row r="9" spans="2:5" ht="33" customHeight="1">
      <c r="B9" s="133" t="s">
        <v>105</v>
      </c>
      <c r="C9" s="134">
        <f>C5+C8</f>
        <v>2591400</v>
      </c>
      <c r="D9" s="134">
        <f>D5+D8</f>
        <v>2929400</v>
      </c>
      <c r="E9" s="135">
        <f t="shared" si="0"/>
        <v>-338000</v>
      </c>
    </row>
    <row r="10" spans="2:5" ht="33" customHeight="1">
      <c r="B10" s="107" t="str">
        <f>'Lucro Presumido'!B29</f>
        <v>Carga Tributária sobre a Receita Total em %</v>
      </c>
      <c r="C10" s="108">
        <f>C9/'Mark up Regime Não Cumulativo'!D48</f>
        <v>0.14396666666666666</v>
      </c>
      <c r="D10" s="108">
        <f>D9/'Mark up Regime Não Cumulativo'!D48</f>
        <v>0.16274444444444444</v>
      </c>
      <c r="E10" s="110"/>
    </row>
  </sheetData>
  <printOptions horizontalCentered="1" verticalCentered="1"/>
  <pageMargins left="0.15748031496062992" right="0.19685039370078741" top="0.31496062992125984" bottom="0.59" header="0.31496062992125984" footer="0.31496062992125984"/>
  <pageSetup paperSize="0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Joaquim Filho</dc:creator>
  <cp:keywords/>
  <dc:description/>
  <cp:lastModifiedBy>Marcello Malho</cp:lastModifiedBy>
  <cp:revision/>
  <dcterms:created xsi:type="dcterms:W3CDTF">2008-07-01T23:30:48Z</dcterms:created>
  <dcterms:modified xsi:type="dcterms:W3CDTF">2021-12-01T18:47:55Z</dcterms:modified>
  <cp:category/>
  <cp:contentStatus/>
</cp:coreProperties>
</file>